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Výkaz výměr" sheetId="2" r:id="rId2"/>
    <sheet name="Krycí list rozpočtu" sheetId="3" r:id="rId3"/>
    <sheet name="VORN" sheetId="4" r:id="rId4"/>
  </sheets>
  <definedNames>
    <definedName name="vorn_sum">VORN!$I$37</definedName>
  </definedNames>
  <calcPr refMode="A1"/>
</workbook>
</file>

<file path=xl/sharedStrings.xml><?xml version="1.0" encoding="utf-8"?>
<sst xmlns="http://schemas.openxmlformats.org/spreadsheetml/2006/main" count="686" uniqueCount="686">
  <si>
    <t>Slepý stavební rozpočet</t>
  </si>
  <si>
    <t>Název stavby:</t>
  </si>
  <si>
    <t>Oprava sociálního zázemí a podlah ve řídách ZŠ Králíky</t>
  </si>
  <si>
    <t>Doba výstavby:</t>
  </si>
  <si>
    <t xml:space="preserve"> </t>
  </si>
  <si>
    <t>Objednatel:</t>
  </si>
  <si>
    <t>ZŠ Králíky</t>
  </si>
  <si>
    <t>Druh stavby:</t>
  </si>
  <si>
    <t>Začátek výstavby:</t>
  </si>
  <si>
    <t>25.06.2025</t>
  </si>
  <si>
    <t>Projektant:</t>
  </si>
  <si>
    <t> 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</si>
  <si>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</si>
  <si>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</si>
  <si>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</si>
  <si>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</si>
  <si>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</si>
  <si>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</si>
  <si>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</si>
  <si>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</si>
  <si>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</si>
  <si>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</si>
  <si>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</si>
  <si>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</si>
  <si>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</si>
  <si>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</si>
  <si>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</si>
  <si>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</si>
  <si>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</si>
  <si>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</si>
  <si>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</si>
  <si>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</si>
  <si>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</si>
  <si>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</si>
  <si>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</si>
  <si>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</si>
  <si>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</si>
  <si>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</si>
  <si>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</si>
  <si>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</si>
  <si>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</si>
  <si>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</si>
  <si>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</si>
  <si>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</si>
  <si>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</si>
  <si>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</si>
  <si>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</si>
  <si>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</si>
  <si>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31</t>
  </si>
  <si>
    <t>Zdi podpěrné a volné</t>
  </si>
  <si>
    <t>1</t>
  </si>
  <si>
    <t>317100011RAA</t>
  </si>
  <si>
    <t>Dodatečná montáž překladu, otvor šířky do 125 cm</t>
  </si>
  <si>
    <t>kus</t>
  </si>
  <si>
    <t>RTS I / 2025</t>
  </si>
  <si>
    <t>31_</t>
  </si>
  <si>
    <t>3_</t>
  </si>
  <si>
    <t>_</t>
  </si>
  <si>
    <t>P</t>
  </si>
  <si>
    <t>vybourání rýhy, dodávka překladu</t>
  </si>
  <si>
    <t>34</t>
  </si>
  <si>
    <t>Stěny a příčky</t>
  </si>
  <si>
    <t>2</t>
  </si>
  <si>
    <t>347014111R00</t>
  </si>
  <si>
    <t>Předstěna sádrokartonová tl. 55 mm, 1x ocelová konstrukce CD, bez izolace, 1x opláštěná,RB tl.12,5mm</t>
  </si>
  <si>
    <t>m2</t>
  </si>
  <si>
    <t>34_</t>
  </si>
  <si>
    <t>3</t>
  </si>
  <si>
    <t>342263410R00</t>
  </si>
  <si>
    <t>Osazení revizních dvířek do sádrokartonové příčky, plochy do 0,25 m2</t>
  </si>
  <si>
    <t>4</t>
  </si>
  <si>
    <t>28349010</t>
  </si>
  <si>
    <t>Dvířka revizní plná rozměr 150 x 150 mm</t>
  </si>
  <si>
    <t>M</t>
  </si>
  <si>
    <t>5</t>
  </si>
  <si>
    <t>346244315R00</t>
  </si>
  <si>
    <t>Obezdívky van a WC nádržek z desek porobetonových tl. 150 mm</t>
  </si>
  <si>
    <t>61</t>
  </si>
  <si>
    <t>Úprava povrchů vnitřní</t>
  </si>
  <si>
    <t>6</t>
  </si>
  <si>
    <t>602023193R00</t>
  </si>
  <si>
    <t>Penetrace stěn</t>
  </si>
  <si>
    <t>61_</t>
  </si>
  <si>
    <t>6_</t>
  </si>
  <si>
    <t>7</t>
  </si>
  <si>
    <t>612403399RT2</t>
  </si>
  <si>
    <t>Hrubá výplň rýh ve stěnách maltou</t>
  </si>
  <si>
    <t>s použitím suché maltové směsi</t>
  </si>
  <si>
    <t>8</t>
  </si>
  <si>
    <t>612423631R00</t>
  </si>
  <si>
    <t>Omítka rýh stěn vápenocementová šířky do 30 cm, štuková</t>
  </si>
  <si>
    <t>zapravení po rozvodech</t>
  </si>
  <si>
    <t>9</t>
  </si>
  <si>
    <t>612409991RT2</t>
  </si>
  <si>
    <t>Začištění omítek kolem oken,dveří apod.</t>
  </si>
  <si>
    <t>m</t>
  </si>
  <si>
    <t>10</t>
  </si>
  <si>
    <t>612421637R00</t>
  </si>
  <si>
    <t>Omítka vnitřní zdiva, MVC, štuková</t>
  </si>
  <si>
    <t>11</t>
  </si>
  <si>
    <t>612481211RT2</t>
  </si>
  <si>
    <t>Montáž výztužné sítě (perlinky) do stěrky - vnitřní stěny</t>
  </si>
  <si>
    <t>včetně výztužné sítě a stěrkového tmelu Baumit</t>
  </si>
  <si>
    <t>12</t>
  </si>
  <si>
    <t>612421431RT2</t>
  </si>
  <si>
    <t>Oprava vápen.omítek stěn do 50 % pl. - štukových</t>
  </si>
  <si>
    <t>13</t>
  </si>
  <si>
    <t>611421110RT2</t>
  </si>
  <si>
    <t>Omítka vnitřní stropů rovných, MVC, hrubá</t>
  </si>
  <si>
    <t>14</t>
  </si>
  <si>
    <t>611421133R00</t>
  </si>
  <si>
    <t>Omítka vnitřní stropů rovných, MVC, štuková</t>
  </si>
  <si>
    <t>15</t>
  </si>
  <si>
    <t>611481211R00</t>
  </si>
  <si>
    <t>Montáž výztužné sítě (perlinky) do stěrky - stropy vnitřní</t>
  </si>
  <si>
    <t>16</t>
  </si>
  <si>
    <t>610991001R00</t>
  </si>
  <si>
    <t>Začišťovací okenní lišta pro vnitř.omítku tl. 6 mm</t>
  </si>
  <si>
    <t>17</t>
  </si>
  <si>
    <t>612401391R00</t>
  </si>
  <si>
    <t>Omítka malých ploch vnitřních stěn do 1 m2</t>
  </si>
  <si>
    <t>18</t>
  </si>
  <si>
    <t>612421615R00</t>
  </si>
  <si>
    <t>Omítka vnitřní zdiva, MVC, hrubá zatřená</t>
  </si>
  <si>
    <t>63</t>
  </si>
  <si>
    <t>Podlahy a podlahové konstrukce</t>
  </si>
  <si>
    <t>19</t>
  </si>
  <si>
    <t>631312121R00</t>
  </si>
  <si>
    <t>Doplnění mazanin betonem do 4 m2, do tl. 8 cm</t>
  </si>
  <si>
    <t>m3</t>
  </si>
  <si>
    <t>63_</t>
  </si>
  <si>
    <t>64</t>
  </si>
  <si>
    <t>Výplně otvorů</t>
  </si>
  <si>
    <t>20</t>
  </si>
  <si>
    <t>642944121RT4</t>
  </si>
  <si>
    <t>Osazení ocelových zárubní dodatečně do 2,5 m2</t>
  </si>
  <si>
    <t>64_</t>
  </si>
  <si>
    <t>včetně dodávky zárubně 800 x 1970 x 100 mm</t>
  </si>
  <si>
    <t>721</t>
  </si>
  <si>
    <t>Vnitřní kanalizace</t>
  </si>
  <si>
    <t>21</t>
  </si>
  <si>
    <t>721210823R00</t>
  </si>
  <si>
    <t>Demontáž podlahové vpusti DN 125 mm</t>
  </si>
  <si>
    <t>721_</t>
  </si>
  <si>
    <t>72_</t>
  </si>
  <si>
    <t>22</t>
  </si>
  <si>
    <t>721223423RT1</t>
  </si>
  <si>
    <t>Vpusť podlahová se zápachovou uzávěrkou, vč. napojení</t>
  </si>
  <si>
    <t>mřížka nerez 115 x 115 D 50/75/110 mm</t>
  </si>
  <si>
    <t>722</t>
  </si>
  <si>
    <t>Vnitřní vodovod</t>
  </si>
  <si>
    <t>23</t>
  </si>
  <si>
    <t>722111911R00</t>
  </si>
  <si>
    <t>Provedení nových rozvodů vnitřního vodovodu a vnitřní kanalizace k novým zařizovacím předmětům</t>
  </si>
  <si>
    <t>soubor</t>
  </si>
  <si>
    <t>722_</t>
  </si>
  <si>
    <t>provedení pod omítkou, napojení na stávající rozvody, připojení 4 umyvadla, 4 x WC, 2x pisoár</t>
  </si>
  <si>
    <t>725</t>
  </si>
  <si>
    <t>Zařizovací předměty</t>
  </si>
  <si>
    <t>24</t>
  </si>
  <si>
    <t>725122813R00</t>
  </si>
  <si>
    <t>Demontáž pisoáru a nádrže</t>
  </si>
  <si>
    <t>725_</t>
  </si>
  <si>
    <t>25</t>
  </si>
  <si>
    <t>725110811R00</t>
  </si>
  <si>
    <t>Demontáž klozetů splachovacích</t>
  </si>
  <si>
    <t>26</t>
  </si>
  <si>
    <t>725210821R00</t>
  </si>
  <si>
    <t>Demontáž umyvadel</t>
  </si>
  <si>
    <t>27</t>
  </si>
  <si>
    <t>286967581</t>
  </si>
  <si>
    <t>Prvek WC předstěnový s nádržkou, v. 1140 mm, pro zazdění</t>
  </si>
  <si>
    <t>28</t>
  </si>
  <si>
    <t>64251331</t>
  </si>
  <si>
    <t>Pisoár keramický s automatickým splachovačem, bateriové napájení</t>
  </si>
  <si>
    <t>29</t>
  </si>
  <si>
    <t>64238938</t>
  </si>
  <si>
    <t>Klozet keramický závěsný</t>
  </si>
  <si>
    <t>30</t>
  </si>
  <si>
    <t>55167391</t>
  </si>
  <si>
    <t>Sedátko klozetové, bílé</t>
  </si>
  <si>
    <t>64214152</t>
  </si>
  <si>
    <t>Umyvadlo keramické s otvorem pro baterii 600 x 450 mm</t>
  </si>
  <si>
    <t>32</t>
  </si>
  <si>
    <t>55161200</t>
  </si>
  <si>
    <t>Sifon umyvadlový chrom</t>
  </si>
  <si>
    <t>33</t>
  </si>
  <si>
    <t>55144203</t>
  </si>
  <si>
    <t>Baterie umyvadlová vč. montáže</t>
  </si>
  <si>
    <t>286967610</t>
  </si>
  <si>
    <t>Prvek pisoárový předstěnový univerzální, pro zazdění, v. 1120 - 1300 mm</t>
  </si>
  <si>
    <t>35</t>
  </si>
  <si>
    <t>725200020RA0</t>
  </si>
  <si>
    <t>Montáž zařizovacích předmětů - pisoár</t>
  </si>
  <si>
    <t>36</t>
  </si>
  <si>
    <t>725200030RA0</t>
  </si>
  <si>
    <t>Montáž zařizovacích předmětů - umyvadlo</t>
  </si>
  <si>
    <t>37</t>
  </si>
  <si>
    <t>725200010RA0</t>
  </si>
  <si>
    <t>Montáž zařizovacích předmětů - klozet</t>
  </si>
  <si>
    <t>728</t>
  </si>
  <si>
    <t>Vzduchotechnika</t>
  </si>
  <si>
    <t>38</t>
  </si>
  <si>
    <t>728611863R00</t>
  </si>
  <si>
    <t>Demontáž ventilátoru nástěnného</t>
  </si>
  <si>
    <t>728_</t>
  </si>
  <si>
    <t>39</t>
  </si>
  <si>
    <t>728611713R00</t>
  </si>
  <si>
    <t>Montáž a dodávka ventilátoru v sociálním zázemí</t>
  </si>
  <si>
    <t>735</t>
  </si>
  <si>
    <t>Otopná tělesa</t>
  </si>
  <si>
    <t>40</t>
  </si>
  <si>
    <t>735151811R00</t>
  </si>
  <si>
    <t>Demontáž otopných těles, délky do 1500 mm</t>
  </si>
  <si>
    <t>735_</t>
  </si>
  <si>
    <t>73_</t>
  </si>
  <si>
    <t>41</t>
  </si>
  <si>
    <t>735156910R00</t>
  </si>
  <si>
    <t>Tlakové zkoušky otopných těles</t>
  </si>
  <si>
    <t>42</t>
  </si>
  <si>
    <t>735494811R00</t>
  </si>
  <si>
    <t>Vypuštění vody z otopných těles</t>
  </si>
  <si>
    <t>43</t>
  </si>
  <si>
    <t>735139002R00</t>
  </si>
  <si>
    <t>Montáž otopných těles do 1600 mm</t>
  </si>
  <si>
    <t>44</t>
  </si>
  <si>
    <t>48452930</t>
  </si>
  <si>
    <t>Těleso otopné deskové výška 800 mm, délka 600 mm, šířka 47</t>
  </si>
  <si>
    <t>45</t>
  </si>
  <si>
    <t>48452932</t>
  </si>
  <si>
    <t>Těleso otopné deskové výška 600 mm, délka 600 mm, šířka 100</t>
  </si>
  <si>
    <t>46</t>
  </si>
  <si>
    <t>48452950</t>
  </si>
  <si>
    <t>Těleso otopné deskové výška 500 mm, délka 800 mm, šířka 100</t>
  </si>
  <si>
    <t>766</t>
  </si>
  <si>
    <t>Konstrukce truhlářské</t>
  </si>
  <si>
    <t>47</t>
  </si>
  <si>
    <t>766125111R00</t>
  </si>
  <si>
    <t>Stěny ze sendvičové desky tl. 36 mm s polystyrénovým jádrem a oboustranného obkladu HPL tl. 4 mm</t>
  </si>
  <si>
    <t>766_</t>
  </si>
  <si>
    <t>76_</t>
  </si>
  <si>
    <t>vč. dveří se WC kováním, nožky 190 mm, viz. PD</t>
  </si>
  <si>
    <t>48</t>
  </si>
  <si>
    <t>766661112R00</t>
  </si>
  <si>
    <t>Montáž dveří do zárubně,otevíravých 1kř.do 0,8 m</t>
  </si>
  <si>
    <t>49</t>
  </si>
  <si>
    <t>766662811R00</t>
  </si>
  <si>
    <t>Demontáž prahů dveří 1křídlových</t>
  </si>
  <si>
    <t>50</t>
  </si>
  <si>
    <t>766665921R00</t>
  </si>
  <si>
    <t>Zakování dveří 1křídlých kompletizovaných</t>
  </si>
  <si>
    <t>51</t>
  </si>
  <si>
    <t>210205106R00</t>
  </si>
  <si>
    <t>Piktogram na dveře, dodávka a montáž</t>
  </si>
  <si>
    <t>52</t>
  </si>
  <si>
    <t>54914622</t>
  </si>
  <si>
    <t>Kování dveřní - klika/klika, zámek s cylindrickou vložkou</t>
  </si>
  <si>
    <t>53</t>
  </si>
  <si>
    <t>611601203</t>
  </si>
  <si>
    <t>Dveře dřevěné interiérové 800 x 1970 mm L/P, CPL, plné</t>
  </si>
  <si>
    <t>54</t>
  </si>
  <si>
    <t>766629302R00</t>
  </si>
  <si>
    <t>Montáž oken plastových plochy do 2,70 m2</t>
  </si>
  <si>
    <t>55</t>
  </si>
  <si>
    <t>61143965</t>
  </si>
  <si>
    <t>Okno plastové pevné, 5 komor, oboustranně bílé, dvojsklo, ornametní kůra</t>
  </si>
  <si>
    <t>56</t>
  </si>
  <si>
    <t>61174055</t>
  </si>
  <si>
    <t>D+M dveře plastové s nadsvětlíkem 1550 x 2839 mm, průchod 900 mm, prosklené, cylindrická vložka, varovné pásky</t>
  </si>
  <si>
    <t>57</t>
  </si>
  <si>
    <t>998766103R00</t>
  </si>
  <si>
    <t>Přesun hmot pro truhlářské konstr., výšky do 24 m</t>
  </si>
  <si>
    <t>t</t>
  </si>
  <si>
    <t>771</t>
  </si>
  <si>
    <t>Podlahy z dlaždic</t>
  </si>
  <si>
    <t>58</t>
  </si>
  <si>
    <t>771101101R00</t>
  </si>
  <si>
    <t>Vysávání podlah průmyslovýcm vysavačem pro pokládku dlažby</t>
  </si>
  <si>
    <t>771_</t>
  </si>
  <si>
    <t>77_</t>
  </si>
  <si>
    <t>59</t>
  </si>
  <si>
    <t>771101115R00</t>
  </si>
  <si>
    <t>Vyrovnání podkladů samonivelační hmotou tloušťky do 10 mm</t>
  </si>
  <si>
    <t>60</t>
  </si>
  <si>
    <t>771101121R00</t>
  </si>
  <si>
    <t>Provedení penetrace podkladu pod vyrovnání</t>
  </si>
  <si>
    <t>771101210R00</t>
  </si>
  <si>
    <t>Penetrace podkladu pod dlažby</t>
  </si>
  <si>
    <t>62</t>
  </si>
  <si>
    <t>771111122R00</t>
  </si>
  <si>
    <t>Montáž podlahových lišt přechodových</t>
  </si>
  <si>
    <t>vč. dodání lišty</t>
  </si>
  <si>
    <t>771575118R00</t>
  </si>
  <si>
    <t>Montáž podlah z dlaždic hladkých keramických, do tmele, 600 x 600 mm</t>
  </si>
  <si>
    <t>flexibilní lepidlo, použití klínků</t>
  </si>
  <si>
    <t>771579793R00</t>
  </si>
  <si>
    <t>Příplatek za spárovací hmotu - plošně, podlahy z dlaždic keramických</t>
  </si>
  <si>
    <t>65</t>
  </si>
  <si>
    <t>771579792R00</t>
  </si>
  <si>
    <t>Příplatek za práci v omezeném prostoru, podlahy z dlaždic keramických</t>
  </si>
  <si>
    <t>66</t>
  </si>
  <si>
    <t>771475014R00</t>
  </si>
  <si>
    <t>Montáž soklíků rovných z dlaždic keramických, do tmele, výšky do 100 mm</t>
  </si>
  <si>
    <t>67</t>
  </si>
  <si>
    <t>59764207</t>
  </si>
  <si>
    <t>Dlaždice keramická 600 x 600 x 10 mm</t>
  </si>
  <si>
    <t>68</t>
  </si>
  <si>
    <t>998771103R00</t>
  </si>
  <si>
    <t>Přesun hmot pro podlahy z dlaždic, výšky do 24 m</t>
  </si>
  <si>
    <t>776</t>
  </si>
  <si>
    <t>Podlahy povlakové</t>
  </si>
  <si>
    <t>69</t>
  </si>
  <si>
    <t>776401800R00</t>
  </si>
  <si>
    <t>Demontáž soklíků nebo lišt, pryžových nebo z PVC</t>
  </si>
  <si>
    <t>776_</t>
  </si>
  <si>
    <t>70</t>
  </si>
  <si>
    <t>776511810R00</t>
  </si>
  <si>
    <t>Odstranění povlakové podlahy z PVC a koberců lepených bez podložky</t>
  </si>
  <si>
    <t>71</t>
  </si>
  <si>
    <t>776101101R00</t>
  </si>
  <si>
    <t>Vysávání podlahy průmyslovým vysavačem pod povlakové podlahy</t>
  </si>
  <si>
    <t>72</t>
  </si>
  <si>
    <t>776101115R00</t>
  </si>
  <si>
    <t>Vyrovnání podkladů samonivelační hmotou</t>
  </si>
  <si>
    <t>do 5 mm</t>
  </si>
  <si>
    <t>73</t>
  </si>
  <si>
    <t>776101121R00</t>
  </si>
  <si>
    <t>Provedení penetrace podkladu pod povlakové podlahové krytiny a samonivelační hmoty</t>
  </si>
  <si>
    <t>74</t>
  </si>
  <si>
    <t>776521100RT1</t>
  </si>
  <si>
    <t>Lepení povlakové podlahy z pásů PVC na lepidlo</t>
  </si>
  <si>
    <t>pouze položení - PVC ve specifikaci</t>
  </si>
  <si>
    <t>75</t>
  </si>
  <si>
    <t>776421100RU1</t>
  </si>
  <si>
    <t>Lepení podlahových soklíků z PVC a vinylu</t>
  </si>
  <si>
    <t>včetně dodávky soklíku PVC</t>
  </si>
  <si>
    <t>76</t>
  </si>
  <si>
    <t>28410170</t>
  </si>
  <si>
    <t>PVC podlahovina tl. 2,5 mm, nášlapná vrstva 0,7 mm, třída zátěže 43, reakce na oheň Bfl-s1, protiskluznost R10</t>
  </si>
  <si>
    <t>77</t>
  </si>
  <si>
    <t>998776103R00</t>
  </si>
  <si>
    <t>Přesun hmot pro podlahy povlakové, výšky do 24 m</t>
  </si>
  <si>
    <t>781</t>
  </si>
  <si>
    <t>Obklady (keramické)</t>
  </si>
  <si>
    <t>78</t>
  </si>
  <si>
    <t>781101111R00</t>
  </si>
  <si>
    <t>Vyrovnání podkladu maltou ze suché maltové směsi tl. do 7 mm</t>
  </si>
  <si>
    <t>781_</t>
  </si>
  <si>
    <t>78_</t>
  </si>
  <si>
    <t>79</t>
  </si>
  <si>
    <t>781101210R00</t>
  </si>
  <si>
    <t>Penetrace podkladu pod obklady</t>
  </si>
  <si>
    <t>80</t>
  </si>
  <si>
    <t>781111116R00</t>
  </si>
  <si>
    <t>Otvor v obkladačce diamantovou korunkou, průměr do 90 mm</t>
  </si>
  <si>
    <t>81</t>
  </si>
  <si>
    <t>781475124R00</t>
  </si>
  <si>
    <t>Montáž obkladů stěn obkládačkami keramickými, do tmele, do 600 x 600 mm</t>
  </si>
  <si>
    <t>82</t>
  </si>
  <si>
    <t>781479705R00</t>
  </si>
  <si>
    <t>Příplatek za spárovací hmotu - plošně, obklad stěn keramickými obkládačkami</t>
  </si>
  <si>
    <t>83</t>
  </si>
  <si>
    <t>781497131R00</t>
  </si>
  <si>
    <t>Lišta nerezová ukončovacích k obkladům</t>
  </si>
  <si>
    <t>84</t>
  </si>
  <si>
    <t>85</t>
  </si>
  <si>
    <t>998781103R00</t>
  </si>
  <si>
    <t>Přesun hmot pro obklady keramické, výšky do 24 m</t>
  </si>
  <si>
    <t>783</t>
  </si>
  <si>
    <t>Nátěry</t>
  </si>
  <si>
    <t>86</t>
  </si>
  <si>
    <t>783122111R00</t>
  </si>
  <si>
    <t>Nátěr syntetický OK - zárubně</t>
  </si>
  <si>
    <t>783_</t>
  </si>
  <si>
    <t>784</t>
  </si>
  <si>
    <t>Malby</t>
  </si>
  <si>
    <t>87</t>
  </si>
  <si>
    <t>784191201R00</t>
  </si>
  <si>
    <t>Penetrace podkladu hloubková 1x</t>
  </si>
  <si>
    <t>784_</t>
  </si>
  <si>
    <t>88</t>
  </si>
  <si>
    <t>784195212R00</t>
  </si>
  <si>
    <t>Malba, bílá, bez penetrace, 2 x</t>
  </si>
  <si>
    <t>89</t>
  </si>
  <si>
    <t>784011221RT2</t>
  </si>
  <si>
    <t>Zakrytí předmětů, včetně odstranění</t>
  </si>
  <si>
    <t>včetně dodávky fólie tl. 0,04 mm</t>
  </si>
  <si>
    <t>795</t>
  </si>
  <si>
    <t>Vytápění</t>
  </si>
  <si>
    <t>90</t>
  </si>
  <si>
    <t>795121111R00</t>
  </si>
  <si>
    <t>Úpravy rozvodů topení v autistické třídě</t>
  </si>
  <si>
    <t>795_</t>
  </si>
  <si>
    <t>79_</t>
  </si>
  <si>
    <t>Odřezání svislého i vodorovného potrubí ve třídě a nahrazení novým potrubím z mědi - 54/2 a 15/1, odvzdušňovací ventily,  potrubí 15/1 provedeno pod omítkou, u otopných těles uzaviratelné šroubení DN 15 a ventil DN15 s termostatickou hlavicí, potrubí 54/2 bude napojeno na stávající potrubí</t>
  </si>
  <si>
    <t>91</t>
  </si>
  <si>
    <t>795121121R00</t>
  </si>
  <si>
    <t>Úpravy rozvodů topení v sociálním zázemí</t>
  </si>
  <si>
    <t>Odřezání svislého i vodorovného potrubí v zázemí a nahrazení novým potrubím z mědi - 15/1, napojení na stávající rozvody, potrubí 15/1 provedeno pod omítkou, u otopných těles uzaviratelné šroubení DN 15 a ventil DN15 s termostatickou hlavicí</t>
  </si>
  <si>
    <t>Hodinové zúčtovací sazby (HZS)</t>
  </si>
  <si>
    <t>92</t>
  </si>
  <si>
    <t>900      R04</t>
  </si>
  <si>
    <t>HZS</t>
  </si>
  <si>
    <t>h</t>
  </si>
  <si>
    <t>90_</t>
  </si>
  <si>
    <t>9_</t>
  </si>
  <si>
    <t>stavební dělník v tarifní třídě 7</t>
  </si>
  <si>
    <t>94</t>
  </si>
  <si>
    <t>Lešení a stavební výtahy</t>
  </si>
  <si>
    <t>93</t>
  </si>
  <si>
    <t>941955001R00</t>
  </si>
  <si>
    <t>Lešení lehké pomocné, výška podlahy do 1,2 m</t>
  </si>
  <si>
    <t>94_</t>
  </si>
  <si>
    <t>95</t>
  </si>
  <si>
    <t>Různé dokončovací konstrukce a práce na pozemních stavbách</t>
  </si>
  <si>
    <t>952901111R00</t>
  </si>
  <si>
    <t>Vyčištění budov o výšce podlaží do 4 m</t>
  </si>
  <si>
    <t>95_</t>
  </si>
  <si>
    <t>96</t>
  </si>
  <si>
    <t>Bourání konstrukcí</t>
  </si>
  <si>
    <t>962031124R00</t>
  </si>
  <si>
    <t>Bourání příček z cihel pálených děrovan. tl.115 mm</t>
  </si>
  <si>
    <t>96_</t>
  </si>
  <si>
    <t>965081713RT1</t>
  </si>
  <si>
    <t>Bourání dlažeb keramických tl.10 mm, nad 1 m2</t>
  </si>
  <si>
    <t>ručně, dlaždice keramické</t>
  </si>
  <si>
    <t>97</t>
  </si>
  <si>
    <t>965081702R00</t>
  </si>
  <si>
    <t>Bourání soklíků z dlažeb keramických</t>
  </si>
  <si>
    <t>98</t>
  </si>
  <si>
    <t>968072455R00</t>
  </si>
  <si>
    <t>Vybourání kovových dveřních zárubní pl. do 2 m2</t>
  </si>
  <si>
    <t>99</t>
  </si>
  <si>
    <t>968072456R00</t>
  </si>
  <si>
    <t>Vybourání kovových dveřních zárubní pl. nad 2 m2</t>
  </si>
  <si>
    <t>100</t>
  </si>
  <si>
    <t>962081131R00</t>
  </si>
  <si>
    <t>Bourání příček ze skleněných tvárnic tl. 10 cm</t>
  </si>
  <si>
    <t>101</t>
  </si>
  <si>
    <t>968061125R00</t>
  </si>
  <si>
    <t>Vyvěšení dřevěných a plastových dveřních křídel pl. do 2 m2</t>
  </si>
  <si>
    <t>102</t>
  </si>
  <si>
    <t>965048150R00</t>
  </si>
  <si>
    <t>Dočištění povrchu po vybourání dlažeb, tmel do 50%</t>
  </si>
  <si>
    <t>103</t>
  </si>
  <si>
    <t>965042141RT2</t>
  </si>
  <si>
    <t>Bourání mazanin betonových tl. 10 cm, nad 4 m2</t>
  </si>
  <si>
    <t>ručně tl. mazaniny 8 - 10 cm</t>
  </si>
  <si>
    <t>Prorážení otvorů a ostatní bourací práce</t>
  </si>
  <si>
    <t>104</t>
  </si>
  <si>
    <t>978011191R00</t>
  </si>
  <si>
    <t>Otlučení omítek vnitřních vápenných stropů</t>
  </si>
  <si>
    <t>97_</t>
  </si>
  <si>
    <t>105</t>
  </si>
  <si>
    <t>978059531R00</t>
  </si>
  <si>
    <t>Odsekání vnitřních obkladů stěn nad 2 m2</t>
  </si>
  <si>
    <t>H01</t>
  </si>
  <si>
    <t>Budovy občanské výstavby</t>
  </si>
  <si>
    <t>106</t>
  </si>
  <si>
    <t>998011003R00</t>
  </si>
  <si>
    <t>Přesun hmot pro budovy zděné výšky do 24 m</t>
  </si>
  <si>
    <t>H01_</t>
  </si>
  <si>
    <t>S</t>
  </si>
  <si>
    <t>Přesuny sutí</t>
  </si>
  <si>
    <t>107</t>
  </si>
  <si>
    <t>979012112R00</t>
  </si>
  <si>
    <t>Svislá doprava suti na výšku do 3,5 m</t>
  </si>
  <si>
    <t>S_</t>
  </si>
  <si>
    <t>108</t>
  </si>
  <si>
    <t>979082111R00</t>
  </si>
  <si>
    <t>Vnitrostaveništní doprava suti do 10 m</t>
  </si>
  <si>
    <t>109</t>
  </si>
  <si>
    <t>979082318R00</t>
  </si>
  <si>
    <t>Vodorovná doprava suti a hmot po suchu do 6000 m</t>
  </si>
  <si>
    <t>110</t>
  </si>
  <si>
    <t>979086112R00</t>
  </si>
  <si>
    <t>Nakládání nebo překládání suti a vybouraných hmot</t>
  </si>
  <si>
    <t>111</t>
  </si>
  <si>
    <t>979990107R00</t>
  </si>
  <si>
    <t>Poplatek za uložení suti - směs betonu, cihel, dřeva, skupina odpadu 170904</t>
  </si>
  <si>
    <t>112</t>
  </si>
  <si>
    <t>979990109R00</t>
  </si>
  <si>
    <t>Poplatek za uložení suti - skleněné tvárnice, skupina odpadu 070202</t>
  </si>
  <si>
    <t>113</t>
  </si>
  <si>
    <t>979990181R00</t>
  </si>
  <si>
    <t>Poplatek za uložení suti - PVC podlahová krytina, skupina odpadu 200307</t>
  </si>
  <si>
    <t>Celkem:</t>
  </si>
  <si>
    <t>Poznámka:</t>
  </si>
  <si>
    <t>Výkaz výměr</t>
  </si>
  <si>
    <t>Objekt</t>
  </si>
  <si>
    <t>Zkrácený popis / Varianta</t>
  </si>
  <si>
    <t>Potřebné množství</t>
  </si>
  <si>
    <t>4,773*(0,24+0,2)</t>
  </si>
  <si>
    <t>D.5</t>
  </si>
  <si>
    <t>2,5*(0,24+0,2)</t>
  </si>
  <si>
    <t>2,2*1,5</t>
  </si>
  <si>
    <t>1,733*1,25</t>
  </si>
  <si>
    <t>0,87*1,25</t>
  </si>
  <si>
    <t>47,53043+31,33+15</t>
  </si>
  <si>
    <t>2,5*0,2*2</t>
  </si>
  <si>
    <t>3*0,2</t>
  </si>
  <si>
    <t>2*0,2*2</t>
  </si>
  <si>
    <t>25*0,2</t>
  </si>
  <si>
    <t>D.3</t>
  </si>
  <si>
    <t>3*0,3</t>
  </si>
  <si>
    <t>2*0,3*2</t>
  </si>
  <si>
    <t>2,5*0,3*2</t>
  </si>
  <si>
    <t>2,84*4</t>
  </si>
  <si>
    <t>1,18*2</t>
  </si>
  <si>
    <t>0,59*4</t>
  </si>
  <si>
    <t>(2+0,8+2)*3*2</t>
  </si>
  <si>
    <t>(1,3+1,3+0,6+0,6)*2</t>
  </si>
  <si>
    <t>(1,9+1,9+0,6+0,6)*2</t>
  </si>
  <si>
    <t>13,326*2,839</t>
  </si>
  <si>
    <t>-1,5*2,839</t>
  </si>
  <si>
    <t>-0,8*2*3</t>
  </si>
  <si>
    <t>-1,165*2,07</t>
  </si>
  <si>
    <t>-1,875*0,6</t>
  </si>
  <si>
    <t>10,13*0,825</t>
  </si>
  <si>
    <t>9,972*0,825</t>
  </si>
  <si>
    <t>7,67*0,846</t>
  </si>
  <si>
    <t>-1,3*0,6</t>
  </si>
  <si>
    <t>na neřešené chodbě</t>
  </si>
  <si>
    <t>D.7</t>
  </si>
  <si>
    <t>24,33</t>
  </si>
  <si>
    <t>socialky</t>
  </si>
  <si>
    <t>3*5</t>
  </si>
  <si>
    <t>tridy 5x</t>
  </si>
  <si>
    <t>socialni zazemi po bourani</t>
  </si>
  <si>
    <t>(1,733+1,213+1,705+1,705+1,875)*0,1*0,1</t>
  </si>
  <si>
    <t>oprava podlaha po vybourani podlah</t>
  </si>
  <si>
    <t>5*0,1</t>
  </si>
  <si>
    <t>10*0,1*5</t>
  </si>
  <si>
    <t>tridy</t>
  </si>
  <si>
    <t>D.2</t>
  </si>
  <si>
    <t>4+3</t>
  </si>
  <si>
    <t>0,6*0,6*4</t>
  </si>
  <si>
    <t>0,5*0,6*1</t>
  </si>
  <si>
    <t>0,7*0,6*2</t>
  </si>
  <si>
    <t>1,733*2,1</t>
  </si>
  <si>
    <t>1,3*2,1</t>
  </si>
  <si>
    <t>0,9*2,1</t>
  </si>
  <si>
    <t>1,705*2,1</t>
  </si>
  <si>
    <t>1,875*2,1</t>
  </si>
  <si>
    <t>2*0,6</t>
  </si>
  <si>
    <t>1,3*0,6</t>
  </si>
  <si>
    <t>9,29+5,77+5,59+3,68</t>
  </si>
  <si>
    <t>1,5+0,8+0,8+0,8+1,2</t>
  </si>
  <si>
    <t>13,326-1,5-0,8-0,8-0,8-1,165+1+1</t>
  </si>
  <si>
    <t>(24,33+(10,261*0,1))*1,15</t>
  </si>
  <si>
    <t>20,674-0,9</t>
  </si>
  <si>
    <t>28,784-0,9-0,8</t>
  </si>
  <si>
    <t>D.6</t>
  </si>
  <si>
    <t>30,438-1,155</t>
  </si>
  <si>
    <t>23,808-0,9</t>
  </si>
  <si>
    <t>D.8</t>
  </si>
  <si>
    <t>8a</t>
  </si>
  <si>
    <t>26,59</t>
  </si>
  <si>
    <t>38,95</t>
  </si>
  <si>
    <t>51,72</t>
  </si>
  <si>
    <t>34,93*2</t>
  </si>
  <si>
    <t>D.8 + 8a</t>
  </si>
  <si>
    <t>187,12</t>
  </si>
  <si>
    <t>121,957</t>
  </si>
  <si>
    <t>třídy</t>
  </si>
  <si>
    <t>187,12*1,15</t>
  </si>
  <si>
    <t>10,13*2,1</t>
  </si>
  <si>
    <t>9,972*2,1</t>
  </si>
  <si>
    <t>7,67*2,1</t>
  </si>
  <si>
    <t>1,733*0,15</t>
  </si>
  <si>
    <t>0,87*0,15</t>
  </si>
  <si>
    <t>2,202*0,15</t>
  </si>
  <si>
    <t>2,2+1,5+0,9+1,75</t>
  </si>
  <si>
    <t>1,2+1,2+0,5+0,5+0,5+0,5</t>
  </si>
  <si>
    <t>54,24195*1,15</t>
  </si>
  <si>
    <t>0,8*2*3</t>
  </si>
  <si>
    <t>oc. zárubně soc</t>
  </si>
  <si>
    <t>0,9*2*4</t>
  </si>
  <si>
    <t>tridy 4</t>
  </si>
  <si>
    <t>1,315*2,094</t>
  </si>
  <si>
    <t>8.trida</t>
  </si>
  <si>
    <t>20,674*2,5</t>
  </si>
  <si>
    <t>28,784*3,1</t>
  </si>
  <si>
    <t>30,438*2,891</t>
  </si>
  <si>
    <t>23,808*2,7*2</t>
  </si>
  <si>
    <t>31,33+15+47,53043</t>
  </si>
  <si>
    <t>26,59+38,95+51,72+34,93+34,93</t>
  </si>
  <si>
    <t>třídy 5x</t>
  </si>
  <si>
    <t>8+8</t>
  </si>
  <si>
    <t>stavební přípomoci</t>
  </si>
  <si>
    <t>drobné demontáže a práce</t>
  </si>
  <si>
    <t>24,33+26,59</t>
  </si>
  <si>
    <t>1,733*2,825</t>
  </si>
  <si>
    <t>sociálky</t>
  </si>
  <si>
    <t>-0,6*2*2</t>
  </si>
  <si>
    <t>1,213*2,825</t>
  </si>
  <si>
    <t>1,705*2,825*2</t>
  </si>
  <si>
    <t>1,875*2,846</t>
  </si>
  <si>
    <t>-0,6*2</t>
  </si>
  <si>
    <t>1,3*0,2</t>
  </si>
  <si>
    <t>pod svetliky</t>
  </si>
  <si>
    <t>1,985*0,2</t>
  </si>
  <si>
    <t>0,3*2*3</t>
  </si>
  <si>
    <t>dveře</t>
  </si>
  <si>
    <t>1,5*0,6</t>
  </si>
  <si>
    <t>9,29+3,47+0,96+0,97+1,86+1,99+1,34+1,99+1,5</t>
  </si>
  <si>
    <t>13,326-1,255-0,6-0,6-0,6-1,165</t>
  </si>
  <si>
    <t>1+1</t>
  </si>
  <si>
    <t>0,6*2*8</t>
  </si>
  <si>
    <t>1,255*2</t>
  </si>
  <si>
    <t>1,3*0,4</t>
  </si>
  <si>
    <t>světlíky</t>
  </si>
  <si>
    <t>2*0,4</t>
  </si>
  <si>
    <t>opravy ve tridach</t>
  </si>
  <si>
    <t>D. 7</t>
  </si>
  <si>
    <t>7,474*2</t>
  </si>
  <si>
    <t>-0,6*2*3</t>
  </si>
  <si>
    <t>4,009*2</t>
  </si>
  <si>
    <t>4,026*2</t>
  </si>
  <si>
    <t>5,586*2</t>
  </si>
  <si>
    <t>5,724*2</t>
  </si>
  <si>
    <t>4,948*2</t>
  </si>
  <si>
    <t>5,87*2</t>
  </si>
  <si>
    <t>5,35*2</t>
  </si>
  <si>
    <t>0,7669+5,3365+0,2058+0,2031+0,6208+0,4657+0,035+0,1375+0,1204</t>
  </si>
  <si>
    <t>0,4458+13,9558</t>
  </si>
  <si>
    <t>0,3+5,2183+5,0354+0,0079+0,5327+11</t>
  </si>
  <si>
    <t>22,0943-0,0735-0,5406</t>
  </si>
  <si>
    <t>0,0079+0,5327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</si>
  <si>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</si>
  <si>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</si>
  <si>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</si>
  <si>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</si>
  <si>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</si>
  <si>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</si>
  <si>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</si>
  <si>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</si>
  <si>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</si>
  <si>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</si>
  <si>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</si>
  <si>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</si>
  <si>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</si>
  <si>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</si>
  <si>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</si>
  <si>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</si>
  <si>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</si>
  <si>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</si>
  <si>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</si>
  <si>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</si>
  <si>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Dopravy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</si>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</sst>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numFmts count="0"/>
  <fonts count="12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00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9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71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29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4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2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3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3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6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2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2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2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2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2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10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0" cy="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0" cy="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0" cy="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0" cy="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73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173:K173" activeCell="A173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42.85546875" customWidth="true"/>
    <col max="4" min="4" style="0" width="35.7109375" customWidth="true"/>
    <col max="5" min="5" style="0" width="9.425781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6.99609375" customWidth="true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5" t="s">
        <v>2</v>
      </c>
      <c r="D2" s="6"/>
      <c r="E2" s="4" t="s">
        <v>3</v>
      </c>
      <c r="F2" s="4"/>
      <c r="G2" s="7" t="s">
        <v>4</v>
      </c>
      <c r="H2" s="8" t="s">
        <v>5</v>
      </c>
      <c r="I2" s="8" t="s">
        <v>6</v>
      </c>
      <c r="J2" s="4"/>
      <c r="K2" s="9"/>
    </row>
    <row r="3">
      <c r="A3" s="10"/>
      <c r="B3" s="11"/>
      <c r="C3" s="12"/>
      <c r="D3" s="12"/>
      <c r="E3" s="11"/>
      <c r="F3" s="11"/>
      <c r="G3" s="13"/>
      <c r="H3" s="11"/>
      <c r="I3" s="11"/>
      <c r="J3" s="11"/>
      <c r="K3" s="14"/>
    </row>
    <row r="4">
      <c r="A4" s="15" t="s">
        <v>7</v>
      </c>
      <c r="B4" s="11"/>
      <c r="C4" s="16" t="s">
        <v>4</v>
      </c>
      <c r="D4" s="11"/>
      <c r="E4" s="11" t="s">
        <v>8</v>
      </c>
      <c r="F4" s="11"/>
      <c r="G4" s="13" t="s">
        <v>9</v>
      </c>
      <c r="H4" s="16" t="s">
        <v>10</v>
      </c>
      <c r="I4" s="11" t="s">
        <v>11</v>
      </c>
      <c r="J4" s="11"/>
      <c r="K4" s="14"/>
    </row>
    <row r="5">
      <c r="A5" s="10"/>
      <c r="B5" s="11"/>
      <c r="C5" s="11"/>
      <c r="D5" s="11"/>
      <c r="E5" s="11"/>
      <c r="F5" s="11"/>
      <c r="G5" s="13"/>
      <c r="H5" s="11"/>
      <c r="I5" s="11"/>
      <c r="J5" s="11"/>
      <c r="K5" s="14"/>
    </row>
    <row r="6">
      <c r="A6" s="15" t="s">
        <v>12</v>
      </c>
      <c r="B6" s="11"/>
      <c r="C6" s="16" t="s">
        <v>4</v>
      </c>
      <c r="D6" s="11"/>
      <c r="E6" s="11" t="s">
        <v>13</v>
      </c>
      <c r="F6" s="11"/>
      <c r="G6" s="13" t="s">
        <v>4</v>
      </c>
      <c r="H6" s="16" t="s">
        <v>14</v>
      </c>
      <c r="I6" s="13" t="s">
        <v>11</v>
      </c>
      <c r="J6" s="13"/>
      <c r="K6" s="17"/>
    </row>
    <row r="7">
      <c r="A7" s="10"/>
      <c r="B7" s="11"/>
      <c r="C7" s="11"/>
      <c r="D7" s="11"/>
      <c r="E7" s="11"/>
      <c r="F7" s="11"/>
      <c r="G7" s="13"/>
      <c r="H7" s="11"/>
      <c r="I7" s="13"/>
      <c r="J7" s="13"/>
      <c r="K7" s="17"/>
    </row>
    <row r="8">
      <c r="A8" s="15" t="s">
        <v>15</v>
      </c>
      <c r="B8" s="11"/>
      <c r="C8" s="16" t="s">
        <v>4</v>
      </c>
      <c r="D8" s="11"/>
      <c r="E8" s="11" t="s">
        <v>16</v>
      </c>
      <c r="F8" s="11"/>
      <c r="G8" s="13" t="s">
        <v>9</v>
      </c>
      <c r="H8" s="16" t="s">
        <v>17</v>
      </c>
      <c r="I8" s="13" t="s">
        <v>11</v>
      </c>
      <c r="J8" s="13"/>
      <c r="K8" s="17"/>
    </row>
    <row r="9">
      <c r="A9" s="18"/>
      <c r="B9" s="19"/>
      <c r="C9" s="19"/>
      <c r="D9" s="19"/>
      <c r="E9" s="19"/>
      <c r="F9" s="19"/>
      <c r="G9" s="20"/>
      <c r="H9" s="19"/>
      <c r="I9" s="20"/>
      <c r="J9" s="20"/>
      <c r="K9" s="21"/>
    </row>
    <row r="10">
      <c r="A10" s="22" t="s">
        <v>18</v>
      </c>
      <c r="B10" s="23" t="s">
        <v>19</v>
      </c>
      <c r="C10" s="24" t="s">
        <v>20</v>
      </c>
      <c r="D10" s="25"/>
      <c r="E10" s="23" t="s">
        <v>21</v>
      </c>
      <c r="F10" s="26" t="s">
        <v>22</v>
      </c>
      <c r="G10" s="27" t="s">
        <v>23</v>
      </c>
      <c r="H10" s="28" t="s">
        <v>24</v>
      </c>
      <c r="I10" s="29"/>
      <c r="J10" s="30"/>
      <c r="K10" s="31" t="s">
        <v>25</v>
      </c>
      <c r="BK10" s="32" t="s">
        <v>26</v>
      </c>
      <c r="BL10" s="33" t="s">
        <v>27</v>
      </c>
      <c r="BW10" s="33" t="s">
        <v>28</v>
      </c>
    </row>
    <row r="11">
      <c r="A11" s="34" t="s">
        <v>4</v>
      </c>
      <c r="B11" s="35" t="s">
        <v>4</v>
      </c>
      <c r="C11" s="36" t="s">
        <v>29</v>
      </c>
      <c r="D11" s="37"/>
      <c r="E11" s="35" t="s">
        <v>4</v>
      </c>
      <c r="F11" s="35" t="s">
        <v>4</v>
      </c>
      <c r="G11" s="38" t="s">
        <v>30</v>
      </c>
      <c r="H11" s="39" t="s">
        <v>31</v>
      </c>
      <c r="I11" s="40" t="s">
        <v>32</v>
      </c>
      <c r="J11" s="41" t="s">
        <v>33</v>
      </c>
      <c r="K11" s="42" t="s">
        <v>34</v>
      </c>
      <c r="Z11" s="32" t="s">
        <v>35</v>
      </c>
      <c r="AA11" s="32" t="s">
        <v>36</v>
      </c>
      <c r="AB11" s="32" t="s">
        <v>37</v>
      </c>
      <c r="AC11" s="32" t="s">
        <v>38</v>
      </c>
      <c r="AD11" s="32" t="s">
        <v>39</v>
      </c>
      <c r="AE11" s="32" t="s">
        <v>40</v>
      </c>
      <c r="AF11" s="32" t="s">
        <v>41</v>
      </c>
      <c r="AG11" s="32" t="s">
        <v>42</v>
      </c>
      <c r="AH11" s="32" t="s">
        <v>43</v>
      </c>
      <c r="BH11" s="32" t="s">
        <v>44</v>
      </c>
      <c r="BI11" s="32" t="s">
        <v>45</v>
      </c>
      <c r="BJ11" s="32" t="s">
        <v>46</v>
      </c>
    </row>
    <row r="12">
      <c r="A12" s="43" t="s">
        <v>47</v>
      </c>
      <c r="B12" s="44" t="s">
        <v>48</v>
      </c>
      <c r="C12" s="45" t="s">
        <v>49</v>
      </c>
      <c r="D12" s="44"/>
      <c r="E12" s="46" t="s">
        <v>4</v>
      </c>
      <c r="F12" s="46" t="s">
        <v>4</v>
      </c>
      <c r="G12" s="47" t="s">
        <v>4</v>
      </c>
      <c r="H12" s="48">
        <f>SUM(H13:H13)</f>
      </c>
      <c r="I12" s="48">
        <f>SUM(I13:I13)</f>
      </c>
      <c r="J12" s="48">
        <f>SUM(J13:J13)</f>
      </c>
      <c r="K12" s="49" t="s">
        <v>47</v>
      </c>
      <c r="AI12" s="32" t="s">
        <v>47</v>
      </c>
      <c r="AS12" s="2">
        <f>SUM(AJ13:AJ13)</f>
      </c>
      <c r="AT12" s="2">
        <f>SUM(AK13:AK13)</f>
      </c>
      <c r="AU12" s="2">
        <f>SUM(AL13:AL13)</f>
      </c>
    </row>
    <row r="13">
      <c r="A13" s="10" t="s">
        <v>50</v>
      </c>
      <c r="B13" s="11" t="s">
        <v>51</v>
      </c>
      <c r="C13" s="16" t="s">
        <v>52</v>
      </c>
      <c r="D13" s="11"/>
      <c r="E13" s="11" t="s">
        <v>53</v>
      </c>
      <c r="F13" s="50" t="n">
        <v>3</v>
      </c>
      <c r="G13" s="51" t="n">
        <v>0</v>
      </c>
      <c r="H13" s="50">
        <f>ROUND(F13*AO13,2)</f>
      </c>
      <c r="I13" s="50">
        <f>ROUND(F13*AP13,2)</f>
      </c>
      <c r="J13" s="50">
        <f>ROUND(F13*G13,2)</f>
      </c>
      <c r="K13" s="52" t="s">
        <v>54</v>
      </c>
      <c r="Z13" s="50">
        <f>ROUND(IF(AQ13="5",BJ13,0),2)</f>
      </c>
      <c r="AB13" s="50">
        <f>ROUND(IF(AQ13="1",BH13,0),2)</f>
      </c>
      <c r="AC13" s="50">
        <f>ROUND(IF(AQ13="1",BI13,0),2)</f>
      </c>
      <c r="AD13" s="50">
        <f>ROUND(IF(AQ13="7",BH13,0),2)</f>
      </c>
      <c r="AE13" s="50">
        <f>ROUND(IF(AQ13="7",BI13,0),2)</f>
      </c>
      <c r="AF13" s="50">
        <f>ROUND(IF(AQ13="2",BH13,0),2)</f>
      </c>
      <c r="AG13" s="50">
        <f>ROUND(IF(AQ13="2",BI13,0),2)</f>
      </c>
      <c r="AH13" s="50">
        <f>ROUND(IF(AQ13="0",BJ13,0),2)</f>
      </c>
      <c r="AI13" s="32" t="s">
        <v>47</v>
      </c>
      <c r="AJ13" s="50">
        <f>IF(AN13=0,J13,0)</f>
      </c>
      <c r="AK13" s="50">
        <f>IF(AN13=12,J13,0)</f>
      </c>
      <c r="AL13" s="50">
        <f>IF(AN13=21,J13,0)</f>
      </c>
      <c r="AN13" s="50" t="n">
        <v>21</v>
      </c>
      <c r="AO13" s="50">
        <f>G13*0.283247005</f>
      </c>
      <c r="AP13" s="50">
        <f>G13*(1-0.283247005)</f>
      </c>
      <c r="AQ13" s="53" t="s">
        <v>50</v>
      </c>
      <c r="AV13" s="50">
        <f>ROUND(AW13+AX13,2)</f>
      </c>
      <c r="AW13" s="50">
        <f>ROUND(F13*AO13,2)</f>
      </c>
      <c r="AX13" s="50">
        <f>ROUND(F13*AP13,2)</f>
      </c>
      <c r="AY13" s="53" t="s">
        <v>55</v>
      </c>
      <c r="AZ13" s="53" t="s">
        <v>56</v>
      </c>
      <c r="BA13" s="32" t="s">
        <v>57</v>
      </c>
      <c r="BC13" s="50">
        <f>AW13+AX13</f>
      </c>
      <c r="BD13" s="50">
        <f>G13/(100-BE13)*100</f>
      </c>
      <c r="BE13" s="50" t="n">
        <v>0</v>
      </c>
      <c r="BF13" s="50">
        <f>13</f>
      </c>
      <c r="BH13" s="50">
        <f>F13*AO13</f>
      </c>
      <c r="BI13" s="50">
        <f>F13*AP13</f>
      </c>
      <c r="BJ13" s="50">
        <f>F13*G13</f>
      </c>
      <c r="BK13" s="53" t="s">
        <v>58</v>
      </c>
      <c r="BL13" s="50" t="n">
        <v>31</v>
      </c>
      <c r="BW13" s="50" t="n">
        <v>21</v>
      </c>
      <c r="BX13" s="16" t="s">
        <v>52</v>
      </c>
    </row>
    <row r="14" customHeight="true" ht="13.5">
      <c r="A14" s="54"/>
      <c r="C14" s="55" t="s">
        <v>59</v>
      </c>
      <c r="D14" s="56"/>
      <c r="E14" s="56"/>
      <c r="F14" s="56"/>
      <c r="G14" s="57"/>
      <c r="H14" s="56"/>
      <c r="I14" s="56"/>
      <c r="J14" s="56"/>
      <c r="K14" s="58"/>
    </row>
    <row r="15">
      <c r="A15" s="59" t="s">
        <v>47</v>
      </c>
      <c r="B15" s="60" t="s">
        <v>60</v>
      </c>
      <c r="C15" s="61" t="s">
        <v>61</v>
      </c>
      <c r="D15" s="60"/>
      <c r="E15" s="62" t="s">
        <v>4</v>
      </c>
      <c r="F15" s="62" t="s">
        <v>4</v>
      </c>
      <c r="G15" s="63" t="s">
        <v>4</v>
      </c>
      <c r="H15" s="2">
        <f>SUM(H16:H19)</f>
      </c>
      <c r="I15" s="2">
        <f>SUM(I16:I19)</f>
      </c>
      <c r="J15" s="2">
        <f>SUM(J16:J19)</f>
      </c>
      <c r="K15" s="64" t="s">
        <v>47</v>
      </c>
      <c r="AI15" s="32" t="s">
        <v>47</v>
      </c>
      <c r="AS15" s="2">
        <f>SUM(AJ16:AJ19)</f>
      </c>
      <c r="AT15" s="2">
        <f>SUM(AK16:AK19)</f>
      </c>
      <c r="AU15" s="2">
        <f>SUM(AL16:AL19)</f>
      </c>
    </row>
    <row r="16" ht="24.75">
      <c r="A16" s="10" t="s">
        <v>62</v>
      </c>
      <c r="B16" s="11" t="s">
        <v>63</v>
      </c>
      <c r="C16" s="16" t="s">
        <v>64</v>
      </c>
      <c r="D16" s="11"/>
      <c r="E16" s="11" t="s">
        <v>65</v>
      </c>
      <c r="F16" s="50" t="n">
        <v>3.20012</v>
      </c>
      <c r="G16" s="51" t="n">
        <v>0</v>
      </c>
      <c r="H16" s="50">
        <f>ROUND(F16*AO16,2)</f>
      </c>
      <c r="I16" s="50">
        <f>ROUND(F16*AP16,2)</f>
      </c>
      <c r="J16" s="50">
        <f>ROUND(F16*G16,2)</f>
      </c>
      <c r="K16" s="52" t="s">
        <v>54</v>
      </c>
      <c r="Z16" s="50">
        <f>ROUND(IF(AQ16="5",BJ16,0),2)</f>
      </c>
      <c r="AB16" s="50">
        <f>ROUND(IF(AQ16="1",BH16,0),2)</f>
      </c>
      <c r="AC16" s="50">
        <f>ROUND(IF(AQ16="1",BI16,0),2)</f>
      </c>
      <c r="AD16" s="50">
        <f>ROUND(IF(AQ16="7",BH16,0),2)</f>
      </c>
      <c r="AE16" s="50">
        <f>ROUND(IF(AQ16="7",BI16,0),2)</f>
      </c>
      <c r="AF16" s="50">
        <f>ROUND(IF(AQ16="2",BH16,0),2)</f>
      </c>
      <c r="AG16" s="50">
        <f>ROUND(IF(AQ16="2",BI16,0),2)</f>
      </c>
      <c r="AH16" s="50">
        <f>ROUND(IF(AQ16="0",BJ16,0),2)</f>
      </c>
      <c r="AI16" s="32" t="s">
        <v>47</v>
      </c>
      <c r="AJ16" s="50">
        <f>IF(AN16=0,J16,0)</f>
      </c>
      <c r="AK16" s="50">
        <f>IF(AN16=12,J16,0)</f>
      </c>
      <c r="AL16" s="50">
        <f>IF(AN16=21,J16,0)</f>
      </c>
      <c r="AN16" s="50" t="n">
        <v>21</v>
      </c>
      <c r="AO16" s="50">
        <f>G16*0.300661483</f>
      </c>
      <c r="AP16" s="50">
        <f>G16*(1-0.300661483)</f>
      </c>
      <c r="AQ16" s="53" t="s">
        <v>50</v>
      </c>
      <c r="AV16" s="50">
        <f>ROUND(AW16+AX16,2)</f>
      </c>
      <c r="AW16" s="50">
        <f>ROUND(F16*AO16,2)</f>
      </c>
      <c r="AX16" s="50">
        <f>ROUND(F16*AP16,2)</f>
      </c>
      <c r="AY16" s="53" t="s">
        <v>66</v>
      </c>
      <c r="AZ16" s="53" t="s">
        <v>56</v>
      </c>
      <c r="BA16" s="32" t="s">
        <v>57</v>
      </c>
      <c r="BC16" s="50">
        <f>AW16+AX16</f>
      </c>
      <c r="BD16" s="50">
        <f>G16/(100-BE16)*100</f>
      </c>
      <c r="BE16" s="50" t="n">
        <v>0</v>
      </c>
      <c r="BF16" s="50">
        <f>16</f>
      </c>
      <c r="BH16" s="50">
        <f>F16*AO16</f>
      </c>
      <c r="BI16" s="50">
        <f>F16*AP16</f>
      </c>
      <c r="BJ16" s="50">
        <f>F16*G16</f>
      </c>
      <c r="BK16" s="53" t="s">
        <v>58</v>
      </c>
      <c r="BL16" s="50" t="n">
        <v>34</v>
      </c>
      <c r="BW16" s="50" t="n">
        <v>21</v>
      </c>
      <c r="BX16" s="16" t="s">
        <v>64</v>
      </c>
    </row>
    <row r="17">
      <c r="A17" s="10" t="s">
        <v>67</v>
      </c>
      <c r="B17" s="11" t="s">
        <v>68</v>
      </c>
      <c r="C17" s="16" t="s">
        <v>69</v>
      </c>
      <c r="D17" s="11"/>
      <c r="E17" s="11" t="s">
        <v>53</v>
      </c>
      <c r="F17" s="50" t="n">
        <v>1</v>
      </c>
      <c r="G17" s="51" t="n">
        <v>0</v>
      </c>
      <c r="H17" s="50">
        <f>ROUND(F17*AO17,2)</f>
      </c>
      <c r="I17" s="50">
        <f>ROUND(F17*AP17,2)</f>
      </c>
      <c r="J17" s="50">
        <f>ROUND(F17*G17,2)</f>
      </c>
      <c r="K17" s="52" t="s">
        <v>54</v>
      </c>
      <c r="Z17" s="50">
        <f>ROUND(IF(AQ17="5",BJ17,0),2)</f>
      </c>
      <c r="AB17" s="50">
        <f>ROUND(IF(AQ17="1",BH17,0),2)</f>
      </c>
      <c r="AC17" s="50">
        <f>ROUND(IF(AQ17="1",BI17,0),2)</f>
      </c>
      <c r="AD17" s="50">
        <f>ROUND(IF(AQ17="7",BH17,0),2)</f>
      </c>
      <c r="AE17" s="50">
        <f>ROUND(IF(AQ17="7",BI17,0),2)</f>
      </c>
      <c r="AF17" s="50">
        <f>ROUND(IF(AQ17="2",BH17,0),2)</f>
      </c>
      <c r="AG17" s="50">
        <f>ROUND(IF(AQ17="2",BI17,0),2)</f>
      </c>
      <c r="AH17" s="50">
        <f>ROUND(IF(AQ17="0",BJ17,0),2)</f>
      </c>
      <c r="AI17" s="32" t="s">
        <v>47</v>
      </c>
      <c r="AJ17" s="50">
        <f>IF(AN17=0,J17,0)</f>
      </c>
      <c r="AK17" s="50">
        <f>IF(AN17=12,J17,0)</f>
      </c>
      <c r="AL17" s="50">
        <f>IF(AN17=21,J17,0)</f>
      </c>
      <c r="AN17" s="50" t="n">
        <v>21</v>
      </c>
      <c r="AO17" s="50">
        <f>G17*0.013874488</f>
      </c>
      <c r="AP17" s="50">
        <f>G17*(1-0.013874488)</f>
      </c>
      <c r="AQ17" s="53" t="s">
        <v>50</v>
      </c>
      <c r="AV17" s="50">
        <f>ROUND(AW17+AX17,2)</f>
      </c>
      <c r="AW17" s="50">
        <f>ROUND(F17*AO17,2)</f>
      </c>
      <c r="AX17" s="50">
        <f>ROUND(F17*AP17,2)</f>
      </c>
      <c r="AY17" s="53" t="s">
        <v>66</v>
      </c>
      <c r="AZ17" s="53" t="s">
        <v>56</v>
      </c>
      <c r="BA17" s="32" t="s">
        <v>57</v>
      </c>
      <c r="BC17" s="50">
        <f>AW17+AX17</f>
      </c>
      <c r="BD17" s="50">
        <f>G17/(100-BE17)*100</f>
      </c>
      <c r="BE17" s="50" t="n">
        <v>0</v>
      </c>
      <c r="BF17" s="50">
        <f>17</f>
      </c>
      <c r="BH17" s="50">
        <f>F17*AO17</f>
      </c>
      <c r="BI17" s="50">
        <f>F17*AP17</f>
      </c>
      <c r="BJ17" s="50">
        <f>F17*G17</f>
      </c>
      <c r="BK17" s="53" t="s">
        <v>58</v>
      </c>
      <c r="BL17" s="50" t="n">
        <v>34</v>
      </c>
      <c r="BW17" s="50" t="n">
        <v>21</v>
      </c>
      <c r="BX17" s="16" t="s">
        <v>69</v>
      </c>
    </row>
    <row r="18">
      <c r="A18" s="10" t="s">
        <v>70</v>
      </c>
      <c r="B18" s="11" t="s">
        <v>71</v>
      </c>
      <c r="C18" s="16" t="s">
        <v>72</v>
      </c>
      <c r="D18" s="11"/>
      <c r="E18" s="11" t="s">
        <v>53</v>
      </c>
      <c r="F18" s="50" t="n">
        <v>1</v>
      </c>
      <c r="G18" s="51" t="n">
        <v>0</v>
      </c>
      <c r="H18" s="50">
        <f>ROUND(F18*AO18,2)</f>
      </c>
      <c r="I18" s="50">
        <f>ROUND(F18*AP18,2)</f>
      </c>
      <c r="J18" s="50">
        <f>ROUND(F18*G18,2)</f>
      </c>
      <c r="K18" s="52" t="s">
        <v>54</v>
      </c>
      <c r="Z18" s="50">
        <f>ROUND(IF(AQ18="5",BJ18,0),2)</f>
      </c>
      <c r="AB18" s="50">
        <f>ROUND(IF(AQ18="1",BH18,0),2)</f>
      </c>
      <c r="AC18" s="50">
        <f>ROUND(IF(AQ18="1",BI18,0),2)</f>
      </c>
      <c r="AD18" s="50">
        <f>ROUND(IF(AQ18="7",BH18,0),2)</f>
      </c>
      <c r="AE18" s="50">
        <f>ROUND(IF(AQ18="7",BI18,0),2)</f>
      </c>
      <c r="AF18" s="50">
        <f>ROUND(IF(AQ18="2",BH18,0),2)</f>
      </c>
      <c r="AG18" s="50">
        <f>ROUND(IF(AQ18="2",BI18,0),2)</f>
      </c>
      <c r="AH18" s="50">
        <f>ROUND(IF(AQ18="0",BJ18,0),2)</f>
      </c>
      <c r="AI18" s="32" t="s">
        <v>47</v>
      </c>
      <c r="AJ18" s="50">
        <f>IF(AN18=0,J18,0)</f>
      </c>
      <c r="AK18" s="50">
        <f>IF(AN18=12,J18,0)</f>
      </c>
      <c r="AL18" s="50">
        <f>IF(AN18=21,J18,0)</f>
      </c>
      <c r="AN18" s="50" t="n">
        <v>21</v>
      </c>
      <c r="AO18" s="50">
        <f>G18*1</f>
      </c>
      <c r="AP18" s="50">
        <f>G18*(1-1)</f>
      </c>
      <c r="AQ18" s="53" t="s">
        <v>50</v>
      </c>
      <c r="AV18" s="50">
        <f>ROUND(AW18+AX18,2)</f>
      </c>
      <c r="AW18" s="50">
        <f>ROUND(F18*AO18,2)</f>
      </c>
      <c r="AX18" s="50">
        <f>ROUND(F18*AP18,2)</f>
      </c>
      <c r="AY18" s="53" t="s">
        <v>66</v>
      </c>
      <c r="AZ18" s="53" t="s">
        <v>56</v>
      </c>
      <c r="BA18" s="32" t="s">
        <v>57</v>
      </c>
      <c r="BC18" s="50">
        <f>AW18+AX18</f>
      </c>
      <c r="BD18" s="50">
        <f>G18/(100-BE18)*100</f>
      </c>
      <c r="BE18" s="50" t="n">
        <v>0</v>
      </c>
      <c r="BF18" s="50">
        <f>18</f>
      </c>
      <c r="BH18" s="50">
        <f>F18*AO18</f>
      </c>
      <c r="BI18" s="50">
        <f>F18*AP18</f>
      </c>
      <c r="BJ18" s="50">
        <f>F18*G18</f>
      </c>
      <c r="BK18" s="53" t="s">
        <v>73</v>
      </c>
      <c r="BL18" s="50" t="n">
        <v>34</v>
      </c>
      <c r="BW18" s="50" t="n">
        <v>21</v>
      </c>
      <c r="BX18" s="16" t="s">
        <v>72</v>
      </c>
    </row>
    <row r="19">
      <c r="A19" s="10" t="s">
        <v>74</v>
      </c>
      <c r="B19" s="11" t="s">
        <v>75</v>
      </c>
      <c r="C19" s="16" t="s">
        <v>76</v>
      </c>
      <c r="D19" s="11"/>
      <c r="E19" s="11" t="s">
        <v>65</v>
      </c>
      <c r="F19" s="50" t="n">
        <v>6.55375</v>
      </c>
      <c r="G19" s="51" t="n">
        <v>0</v>
      </c>
      <c r="H19" s="50">
        <f>ROUND(F19*AO19,2)</f>
      </c>
      <c r="I19" s="50">
        <f>ROUND(F19*AP19,2)</f>
      </c>
      <c r="J19" s="50">
        <f>ROUND(F19*G19,2)</f>
      </c>
      <c r="K19" s="52" t="s">
        <v>54</v>
      </c>
      <c r="Z19" s="50">
        <f>ROUND(IF(AQ19="5",BJ19,0),2)</f>
      </c>
      <c r="AB19" s="50">
        <f>ROUND(IF(AQ19="1",BH19,0),2)</f>
      </c>
      <c r="AC19" s="50">
        <f>ROUND(IF(AQ19="1",BI19,0),2)</f>
      </c>
      <c r="AD19" s="50">
        <f>ROUND(IF(AQ19="7",BH19,0),2)</f>
      </c>
      <c r="AE19" s="50">
        <f>ROUND(IF(AQ19="7",BI19,0),2)</f>
      </c>
      <c r="AF19" s="50">
        <f>ROUND(IF(AQ19="2",BH19,0),2)</f>
      </c>
      <c r="AG19" s="50">
        <f>ROUND(IF(AQ19="2",BI19,0),2)</f>
      </c>
      <c r="AH19" s="50">
        <f>ROUND(IF(AQ19="0",BJ19,0),2)</f>
      </c>
      <c r="AI19" s="32" t="s">
        <v>47</v>
      </c>
      <c r="AJ19" s="50">
        <f>IF(AN19=0,J19,0)</f>
      </c>
      <c r="AK19" s="50">
        <f>IF(AN19=12,J19,0)</f>
      </c>
      <c r="AL19" s="50">
        <f>IF(AN19=21,J19,0)</f>
      </c>
      <c r="AN19" s="50" t="n">
        <v>21</v>
      </c>
      <c r="AO19" s="50">
        <f>G19*0.613444589</f>
      </c>
      <c r="AP19" s="50">
        <f>G19*(1-0.613444589)</f>
      </c>
      <c r="AQ19" s="53" t="s">
        <v>50</v>
      </c>
      <c r="AV19" s="50">
        <f>ROUND(AW19+AX19,2)</f>
      </c>
      <c r="AW19" s="50">
        <f>ROUND(F19*AO19,2)</f>
      </c>
      <c r="AX19" s="50">
        <f>ROUND(F19*AP19,2)</f>
      </c>
      <c r="AY19" s="53" t="s">
        <v>66</v>
      </c>
      <c r="AZ19" s="53" t="s">
        <v>56</v>
      </c>
      <c r="BA19" s="32" t="s">
        <v>57</v>
      </c>
      <c r="BC19" s="50">
        <f>AW19+AX19</f>
      </c>
      <c r="BD19" s="50">
        <f>G19/(100-BE19)*100</f>
      </c>
      <c r="BE19" s="50" t="n">
        <v>0</v>
      </c>
      <c r="BF19" s="50">
        <f>19</f>
      </c>
      <c r="BH19" s="50">
        <f>F19*AO19</f>
      </c>
      <c r="BI19" s="50">
        <f>F19*AP19</f>
      </c>
      <c r="BJ19" s="50">
        <f>F19*G19</f>
      </c>
      <c r="BK19" s="53" t="s">
        <v>58</v>
      </c>
      <c r="BL19" s="50" t="n">
        <v>34</v>
      </c>
      <c r="BW19" s="50" t="n">
        <v>21</v>
      </c>
      <c r="BX19" s="16" t="s">
        <v>76</v>
      </c>
    </row>
    <row r="20">
      <c r="A20" s="59" t="s">
        <v>47</v>
      </c>
      <c r="B20" s="60" t="s">
        <v>77</v>
      </c>
      <c r="C20" s="61" t="s">
        <v>78</v>
      </c>
      <c r="D20" s="60"/>
      <c r="E20" s="62" t="s">
        <v>4</v>
      </c>
      <c r="F20" s="62" t="s">
        <v>4</v>
      </c>
      <c r="G20" s="63" t="s">
        <v>4</v>
      </c>
      <c r="H20" s="2">
        <f>SUM(H21:H39)</f>
      </c>
      <c r="I20" s="2">
        <f>SUM(I21:I39)</f>
      </c>
      <c r="J20" s="2">
        <f>SUM(J21:J39)</f>
      </c>
      <c r="K20" s="64" t="s">
        <v>47</v>
      </c>
      <c r="AI20" s="32" t="s">
        <v>47</v>
      </c>
      <c r="AS20" s="2">
        <f>SUM(AJ21:AJ39)</f>
      </c>
      <c r="AT20" s="2">
        <f>SUM(AK21:AK39)</f>
      </c>
      <c r="AU20" s="2">
        <f>SUM(AL21:AL39)</f>
      </c>
    </row>
    <row r="21">
      <c r="A21" s="10" t="s">
        <v>79</v>
      </c>
      <c r="B21" s="11" t="s">
        <v>80</v>
      </c>
      <c r="C21" s="16" t="s">
        <v>81</v>
      </c>
      <c r="D21" s="11"/>
      <c r="E21" s="11" t="s">
        <v>65</v>
      </c>
      <c r="F21" s="50" t="n">
        <v>93.86043</v>
      </c>
      <c r="G21" s="51" t="n">
        <v>0</v>
      </c>
      <c r="H21" s="50">
        <f>ROUND(F21*AO21,2)</f>
      </c>
      <c r="I21" s="50">
        <f>ROUND(F21*AP21,2)</f>
      </c>
      <c r="J21" s="50">
        <f>ROUND(F21*G21,2)</f>
      </c>
      <c r="K21" s="52" t="s">
        <v>54</v>
      </c>
      <c r="Z21" s="50">
        <f>ROUND(IF(AQ21="5",BJ21,0),2)</f>
      </c>
      <c r="AB21" s="50">
        <f>ROUND(IF(AQ21="1",BH21,0),2)</f>
      </c>
      <c r="AC21" s="50">
        <f>ROUND(IF(AQ21="1",BI21,0),2)</f>
      </c>
      <c r="AD21" s="50">
        <f>ROUND(IF(AQ21="7",BH21,0),2)</f>
      </c>
      <c r="AE21" s="50">
        <f>ROUND(IF(AQ21="7",BI21,0),2)</f>
      </c>
      <c r="AF21" s="50">
        <f>ROUND(IF(AQ21="2",BH21,0),2)</f>
      </c>
      <c r="AG21" s="50">
        <f>ROUND(IF(AQ21="2",BI21,0),2)</f>
      </c>
      <c r="AH21" s="50">
        <f>ROUND(IF(AQ21="0",BJ21,0),2)</f>
      </c>
      <c r="AI21" s="32" t="s">
        <v>47</v>
      </c>
      <c r="AJ21" s="50">
        <f>IF(AN21=0,J21,0)</f>
      </c>
      <c r="AK21" s="50">
        <f>IF(AN21=12,J21,0)</f>
      </c>
      <c r="AL21" s="50">
        <f>IF(AN21=21,J21,0)</f>
      </c>
      <c r="AN21" s="50" t="n">
        <v>21</v>
      </c>
      <c r="AO21" s="50">
        <f>G21*0.694530128</f>
      </c>
      <c r="AP21" s="50">
        <f>G21*(1-0.694530128)</f>
      </c>
      <c r="AQ21" s="53" t="s">
        <v>50</v>
      </c>
      <c r="AV21" s="50">
        <f>ROUND(AW21+AX21,2)</f>
      </c>
      <c r="AW21" s="50">
        <f>ROUND(F21*AO21,2)</f>
      </c>
      <c r="AX21" s="50">
        <f>ROUND(F21*AP21,2)</f>
      </c>
      <c r="AY21" s="53" t="s">
        <v>82</v>
      </c>
      <c r="AZ21" s="53" t="s">
        <v>83</v>
      </c>
      <c r="BA21" s="32" t="s">
        <v>57</v>
      </c>
      <c r="BC21" s="50">
        <f>AW21+AX21</f>
      </c>
      <c r="BD21" s="50">
        <f>G21/(100-BE21)*100</f>
      </c>
      <c r="BE21" s="50" t="n">
        <v>0</v>
      </c>
      <c r="BF21" s="50">
        <f>21</f>
      </c>
      <c r="BH21" s="50">
        <f>F21*AO21</f>
      </c>
      <c r="BI21" s="50">
        <f>F21*AP21</f>
      </c>
      <c r="BJ21" s="50">
        <f>F21*G21</f>
      </c>
      <c r="BK21" s="53" t="s">
        <v>58</v>
      </c>
      <c r="BL21" s="50" t="n">
        <v>61</v>
      </c>
      <c r="BW21" s="50" t="n">
        <v>21</v>
      </c>
      <c r="BX21" s="16" t="s">
        <v>81</v>
      </c>
    </row>
    <row r="22">
      <c r="A22" s="10" t="s">
        <v>84</v>
      </c>
      <c r="B22" s="11" t="s">
        <v>85</v>
      </c>
      <c r="C22" s="16" t="s">
        <v>86</v>
      </c>
      <c r="D22" s="11"/>
      <c r="E22" s="11" t="s">
        <v>65</v>
      </c>
      <c r="F22" s="50" t="n">
        <v>7.4</v>
      </c>
      <c r="G22" s="51" t="n">
        <v>0</v>
      </c>
      <c r="H22" s="50">
        <f>ROUND(F22*AO22,2)</f>
      </c>
      <c r="I22" s="50">
        <f>ROUND(F22*AP22,2)</f>
      </c>
      <c r="J22" s="50">
        <f>ROUND(F22*G22,2)</f>
      </c>
      <c r="K22" s="52" t="s">
        <v>54</v>
      </c>
      <c r="Z22" s="50">
        <f>ROUND(IF(AQ22="5",BJ22,0),2)</f>
      </c>
      <c r="AB22" s="50">
        <f>ROUND(IF(AQ22="1",BH22,0),2)</f>
      </c>
      <c r="AC22" s="50">
        <f>ROUND(IF(AQ22="1",BI22,0),2)</f>
      </c>
      <c r="AD22" s="50">
        <f>ROUND(IF(AQ22="7",BH22,0),2)</f>
      </c>
      <c r="AE22" s="50">
        <f>ROUND(IF(AQ22="7",BI22,0),2)</f>
      </c>
      <c r="AF22" s="50">
        <f>ROUND(IF(AQ22="2",BH22,0),2)</f>
      </c>
      <c r="AG22" s="50">
        <f>ROUND(IF(AQ22="2",BI22,0),2)</f>
      </c>
      <c r="AH22" s="50">
        <f>ROUND(IF(AQ22="0",BJ22,0),2)</f>
      </c>
      <c r="AI22" s="32" t="s">
        <v>47</v>
      </c>
      <c r="AJ22" s="50">
        <f>IF(AN22=0,J22,0)</f>
      </c>
      <c r="AK22" s="50">
        <f>IF(AN22=12,J22,0)</f>
      </c>
      <c r="AL22" s="50">
        <f>IF(AN22=21,J22,0)</f>
      </c>
      <c r="AN22" s="50" t="n">
        <v>21</v>
      </c>
      <c r="AO22" s="50">
        <f>G22*0.48526376</f>
      </c>
      <c r="AP22" s="50">
        <f>G22*(1-0.48526376)</f>
      </c>
      <c r="AQ22" s="53" t="s">
        <v>50</v>
      </c>
      <c r="AV22" s="50">
        <f>ROUND(AW22+AX22,2)</f>
      </c>
      <c r="AW22" s="50">
        <f>ROUND(F22*AO22,2)</f>
      </c>
      <c r="AX22" s="50">
        <f>ROUND(F22*AP22,2)</f>
      </c>
      <c r="AY22" s="53" t="s">
        <v>82</v>
      </c>
      <c r="AZ22" s="53" t="s">
        <v>83</v>
      </c>
      <c r="BA22" s="32" t="s">
        <v>57</v>
      </c>
      <c r="BC22" s="50">
        <f>AW22+AX22</f>
      </c>
      <c r="BD22" s="50">
        <f>G22/(100-BE22)*100</f>
      </c>
      <c r="BE22" s="50" t="n">
        <v>0</v>
      </c>
      <c r="BF22" s="50">
        <f>22</f>
      </c>
      <c r="BH22" s="50">
        <f>F22*AO22</f>
      </c>
      <c r="BI22" s="50">
        <f>F22*AP22</f>
      </c>
      <c r="BJ22" s="50">
        <f>F22*G22</f>
      </c>
      <c r="BK22" s="53" t="s">
        <v>58</v>
      </c>
      <c r="BL22" s="50" t="n">
        <v>61</v>
      </c>
      <c r="BW22" s="50" t="n">
        <v>21</v>
      </c>
      <c r="BX22" s="16" t="s">
        <v>86</v>
      </c>
    </row>
    <row r="23" customHeight="true" ht="13.5">
      <c r="A23" s="54"/>
      <c r="C23" s="55" t="s">
        <v>87</v>
      </c>
      <c r="D23" s="56"/>
      <c r="E23" s="56"/>
      <c r="F23" s="56"/>
      <c r="G23" s="57"/>
      <c r="H23" s="56"/>
      <c r="I23" s="56"/>
      <c r="J23" s="56"/>
      <c r="K23" s="58"/>
    </row>
    <row r="24">
      <c r="A24" s="10" t="s">
        <v>88</v>
      </c>
      <c r="B24" s="11" t="s">
        <v>89</v>
      </c>
      <c r="C24" s="16" t="s">
        <v>90</v>
      </c>
      <c r="D24" s="11"/>
      <c r="E24" s="11" t="s">
        <v>65</v>
      </c>
      <c r="F24" s="50" t="n">
        <v>3.6</v>
      </c>
      <c r="G24" s="51" t="n">
        <v>0</v>
      </c>
      <c r="H24" s="50">
        <f>ROUND(F24*AO24,2)</f>
      </c>
      <c r="I24" s="50">
        <f>ROUND(F24*AP24,2)</f>
      </c>
      <c r="J24" s="50">
        <f>ROUND(F24*G24,2)</f>
      </c>
      <c r="K24" s="52" t="s">
        <v>54</v>
      </c>
      <c r="Z24" s="50">
        <f>ROUND(IF(AQ24="5",BJ24,0),2)</f>
      </c>
      <c r="AB24" s="50">
        <f>ROUND(IF(AQ24="1",BH24,0),2)</f>
      </c>
      <c r="AC24" s="50">
        <f>ROUND(IF(AQ24="1",BI24,0),2)</f>
      </c>
      <c r="AD24" s="50">
        <f>ROUND(IF(AQ24="7",BH24,0),2)</f>
      </c>
      <c r="AE24" s="50">
        <f>ROUND(IF(AQ24="7",BI24,0),2)</f>
      </c>
      <c r="AF24" s="50">
        <f>ROUND(IF(AQ24="2",BH24,0),2)</f>
      </c>
      <c r="AG24" s="50">
        <f>ROUND(IF(AQ24="2",BI24,0),2)</f>
      </c>
      <c r="AH24" s="50">
        <f>ROUND(IF(AQ24="0",BJ24,0),2)</f>
      </c>
      <c r="AI24" s="32" t="s">
        <v>47</v>
      </c>
      <c r="AJ24" s="50">
        <f>IF(AN24=0,J24,0)</f>
      </c>
      <c r="AK24" s="50">
        <f>IF(AN24=12,J24,0)</f>
      </c>
      <c r="AL24" s="50">
        <f>IF(AN24=21,J24,0)</f>
      </c>
      <c r="AN24" s="50" t="n">
        <v>21</v>
      </c>
      <c r="AO24" s="50">
        <f>G24*0.106371753</f>
      </c>
      <c r="AP24" s="50">
        <f>G24*(1-0.106371753)</f>
      </c>
      <c r="AQ24" s="53" t="s">
        <v>50</v>
      </c>
      <c r="AV24" s="50">
        <f>ROUND(AW24+AX24,2)</f>
      </c>
      <c r="AW24" s="50">
        <f>ROUND(F24*AO24,2)</f>
      </c>
      <c r="AX24" s="50">
        <f>ROUND(F24*AP24,2)</f>
      </c>
      <c r="AY24" s="53" t="s">
        <v>82</v>
      </c>
      <c r="AZ24" s="53" t="s">
        <v>83</v>
      </c>
      <c r="BA24" s="32" t="s">
        <v>57</v>
      </c>
      <c r="BC24" s="50">
        <f>AW24+AX24</f>
      </c>
      <c r="BD24" s="50">
        <f>G24/(100-BE24)*100</f>
      </c>
      <c r="BE24" s="50" t="n">
        <v>0</v>
      </c>
      <c r="BF24" s="50">
        <f>24</f>
      </c>
      <c r="BH24" s="50">
        <f>F24*AO24</f>
      </c>
      <c r="BI24" s="50">
        <f>F24*AP24</f>
      </c>
      <c r="BJ24" s="50">
        <f>F24*G24</f>
      </c>
      <c r="BK24" s="53" t="s">
        <v>58</v>
      </c>
      <c r="BL24" s="50" t="n">
        <v>61</v>
      </c>
      <c r="BW24" s="50" t="n">
        <v>21</v>
      </c>
      <c r="BX24" s="16" t="s">
        <v>90</v>
      </c>
    </row>
    <row r="25" customHeight="true" ht="13.5">
      <c r="A25" s="54"/>
      <c r="C25" s="55" t="s">
        <v>91</v>
      </c>
      <c r="D25" s="56"/>
      <c r="E25" s="56"/>
      <c r="F25" s="56"/>
      <c r="G25" s="57"/>
      <c r="H25" s="56"/>
      <c r="I25" s="56"/>
      <c r="J25" s="56"/>
      <c r="K25" s="58"/>
    </row>
    <row r="26">
      <c r="A26" s="10" t="s">
        <v>92</v>
      </c>
      <c r="B26" s="11" t="s">
        <v>93</v>
      </c>
      <c r="C26" s="16" t="s">
        <v>94</v>
      </c>
      <c r="D26" s="11"/>
      <c r="E26" s="11" t="s">
        <v>95</v>
      </c>
      <c r="F26" s="50" t="n">
        <v>62.48</v>
      </c>
      <c r="G26" s="51" t="n">
        <v>0</v>
      </c>
      <c r="H26" s="50">
        <f>ROUND(F26*AO26,2)</f>
      </c>
      <c r="I26" s="50">
        <f>ROUND(F26*AP26,2)</f>
      </c>
      <c r="J26" s="50">
        <f>ROUND(F26*G26,2)</f>
      </c>
      <c r="K26" s="52" t="s">
        <v>54</v>
      </c>
      <c r="Z26" s="50">
        <f>ROUND(IF(AQ26="5",BJ26,0),2)</f>
      </c>
      <c r="AB26" s="50">
        <f>ROUND(IF(AQ26="1",BH26,0),2)</f>
      </c>
      <c r="AC26" s="50">
        <f>ROUND(IF(AQ26="1",BI26,0),2)</f>
      </c>
      <c r="AD26" s="50">
        <f>ROUND(IF(AQ26="7",BH26,0),2)</f>
      </c>
      <c r="AE26" s="50">
        <f>ROUND(IF(AQ26="7",BI26,0),2)</f>
      </c>
      <c r="AF26" s="50">
        <f>ROUND(IF(AQ26="2",BH26,0),2)</f>
      </c>
      <c r="AG26" s="50">
        <f>ROUND(IF(AQ26="2",BI26,0),2)</f>
      </c>
      <c r="AH26" s="50">
        <f>ROUND(IF(AQ26="0",BJ26,0),2)</f>
      </c>
      <c r="AI26" s="32" t="s">
        <v>47</v>
      </c>
      <c r="AJ26" s="50">
        <f>IF(AN26=0,J26,0)</f>
      </c>
      <c r="AK26" s="50">
        <f>IF(AN26=12,J26,0)</f>
      </c>
      <c r="AL26" s="50">
        <f>IF(AN26=21,J26,0)</f>
      </c>
      <c r="AN26" s="50" t="n">
        <v>21</v>
      </c>
      <c r="AO26" s="50">
        <f>G26*0.191264093</f>
      </c>
      <c r="AP26" s="50">
        <f>G26*(1-0.191264093)</f>
      </c>
      <c r="AQ26" s="53" t="s">
        <v>50</v>
      </c>
      <c r="AV26" s="50">
        <f>ROUND(AW26+AX26,2)</f>
      </c>
      <c r="AW26" s="50">
        <f>ROUND(F26*AO26,2)</f>
      </c>
      <c r="AX26" s="50">
        <f>ROUND(F26*AP26,2)</f>
      </c>
      <c r="AY26" s="53" t="s">
        <v>82</v>
      </c>
      <c r="AZ26" s="53" t="s">
        <v>83</v>
      </c>
      <c r="BA26" s="32" t="s">
        <v>57</v>
      </c>
      <c r="BC26" s="50">
        <f>AW26+AX26</f>
      </c>
      <c r="BD26" s="50">
        <f>G26/(100-BE26)*100</f>
      </c>
      <c r="BE26" s="50" t="n">
        <v>0</v>
      </c>
      <c r="BF26" s="50">
        <f>26</f>
      </c>
      <c r="BH26" s="50">
        <f>F26*AO26</f>
      </c>
      <c r="BI26" s="50">
        <f>F26*AP26</f>
      </c>
      <c r="BJ26" s="50">
        <f>F26*G26</f>
      </c>
      <c r="BK26" s="53" t="s">
        <v>58</v>
      </c>
      <c r="BL26" s="50" t="n">
        <v>61</v>
      </c>
      <c r="BW26" s="50" t="n">
        <v>21</v>
      </c>
      <c r="BX26" s="16" t="s">
        <v>94</v>
      </c>
    </row>
    <row r="27" customHeight="true" ht="13.5">
      <c r="A27" s="54"/>
      <c r="C27" s="55" t="s">
        <v>87</v>
      </c>
      <c r="D27" s="56"/>
      <c r="E27" s="56"/>
      <c r="F27" s="56"/>
      <c r="G27" s="57"/>
      <c r="H27" s="56"/>
      <c r="I27" s="56"/>
      <c r="J27" s="56"/>
      <c r="K27" s="58"/>
    </row>
    <row r="28">
      <c r="A28" s="10" t="s">
        <v>96</v>
      </c>
      <c r="B28" s="11" t="s">
        <v>97</v>
      </c>
      <c r="C28" s="16" t="s">
        <v>98</v>
      </c>
      <c r="D28" s="11"/>
      <c r="E28" s="11" t="s">
        <v>65</v>
      </c>
      <c r="F28" s="50" t="n">
        <v>47.53043</v>
      </c>
      <c r="G28" s="51" t="n">
        <v>0</v>
      </c>
      <c r="H28" s="50">
        <f>ROUND(F28*AO28,2)</f>
      </c>
      <c r="I28" s="50">
        <f>ROUND(F28*AP28,2)</f>
      </c>
      <c r="J28" s="50">
        <f>ROUND(F28*G28,2)</f>
      </c>
      <c r="K28" s="52" t="s">
        <v>54</v>
      </c>
      <c r="Z28" s="50">
        <f>ROUND(IF(AQ28="5",BJ28,0),2)</f>
      </c>
      <c r="AB28" s="50">
        <f>ROUND(IF(AQ28="1",BH28,0),2)</f>
      </c>
      <c r="AC28" s="50">
        <f>ROUND(IF(AQ28="1",BI28,0),2)</f>
      </c>
      <c r="AD28" s="50">
        <f>ROUND(IF(AQ28="7",BH28,0),2)</f>
      </c>
      <c r="AE28" s="50">
        <f>ROUND(IF(AQ28="7",BI28,0),2)</f>
      </c>
      <c r="AF28" s="50">
        <f>ROUND(IF(AQ28="2",BH28,0),2)</f>
      </c>
      <c r="AG28" s="50">
        <f>ROUND(IF(AQ28="2",BI28,0),2)</f>
      </c>
      <c r="AH28" s="50">
        <f>ROUND(IF(AQ28="0",BJ28,0),2)</f>
      </c>
      <c r="AI28" s="32" t="s">
        <v>47</v>
      </c>
      <c r="AJ28" s="50">
        <f>IF(AN28=0,J28,0)</f>
      </c>
      <c r="AK28" s="50">
        <f>IF(AN28=12,J28,0)</f>
      </c>
      <c r="AL28" s="50">
        <f>IF(AN28=21,J28,0)</f>
      </c>
      <c r="AN28" s="50" t="n">
        <v>21</v>
      </c>
      <c r="AO28" s="50">
        <f>G28*0.102246601</f>
      </c>
      <c r="AP28" s="50">
        <f>G28*(1-0.102246601)</f>
      </c>
      <c r="AQ28" s="53" t="s">
        <v>50</v>
      </c>
      <c r="AV28" s="50">
        <f>ROUND(AW28+AX28,2)</f>
      </c>
      <c r="AW28" s="50">
        <f>ROUND(F28*AO28,2)</f>
      </c>
      <c r="AX28" s="50">
        <f>ROUND(F28*AP28,2)</f>
      </c>
      <c r="AY28" s="53" t="s">
        <v>82</v>
      </c>
      <c r="AZ28" s="53" t="s">
        <v>83</v>
      </c>
      <c r="BA28" s="32" t="s">
        <v>57</v>
      </c>
      <c r="BC28" s="50">
        <f>AW28+AX28</f>
      </c>
      <c r="BD28" s="50">
        <f>G28/(100-BE28)*100</f>
      </c>
      <c r="BE28" s="50" t="n">
        <v>0</v>
      </c>
      <c r="BF28" s="50">
        <f>28</f>
      </c>
      <c r="BH28" s="50">
        <f>F28*AO28</f>
      </c>
      <c r="BI28" s="50">
        <f>F28*AP28</f>
      </c>
      <c r="BJ28" s="50">
        <f>F28*G28</f>
      </c>
      <c r="BK28" s="53" t="s">
        <v>58</v>
      </c>
      <c r="BL28" s="50" t="n">
        <v>61</v>
      </c>
      <c r="BW28" s="50" t="n">
        <v>21</v>
      </c>
      <c r="BX28" s="16" t="s">
        <v>98</v>
      </c>
    </row>
    <row r="29">
      <c r="A29" s="10" t="s">
        <v>99</v>
      </c>
      <c r="B29" s="11" t="s">
        <v>100</v>
      </c>
      <c r="C29" s="16" t="s">
        <v>101</v>
      </c>
      <c r="D29" s="11"/>
      <c r="E29" s="11" t="s">
        <v>65</v>
      </c>
      <c r="F29" s="50" t="n">
        <v>47.53043</v>
      </c>
      <c r="G29" s="51" t="n">
        <v>0</v>
      </c>
      <c r="H29" s="50">
        <f>ROUND(F29*AO29,2)</f>
      </c>
      <c r="I29" s="50">
        <f>ROUND(F29*AP29,2)</f>
      </c>
      <c r="J29" s="50">
        <f>ROUND(F29*G29,2)</f>
      </c>
      <c r="K29" s="52" t="s">
        <v>54</v>
      </c>
      <c r="Z29" s="50">
        <f>ROUND(IF(AQ29="5",BJ29,0),2)</f>
      </c>
      <c r="AB29" s="50">
        <f>ROUND(IF(AQ29="1",BH29,0),2)</f>
      </c>
      <c r="AC29" s="50">
        <f>ROUND(IF(AQ29="1",BI29,0),2)</f>
      </c>
      <c r="AD29" s="50">
        <f>ROUND(IF(AQ29="7",BH29,0),2)</f>
      </c>
      <c r="AE29" s="50">
        <f>ROUND(IF(AQ29="7",BI29,0),2)</f>
      </c>
      <c r="AF29" s="50">
        <f>ROUND(IF(AQ29="2",BH29,0),2)</f>
      </c>
      <c r="AG29" s="50">
        <f>ROUND(IF(AQ29="2",BI29,0),2)</f>
      </c>
      <c r="AH29" s="50">
        <f>ROUND(IF(AQ29="0",BJ29,0),2)</f>
      </c>
      <c r="AI29" s="32" t="s">
        <v>47</v>
      </c>
      <c r="AJ29" s="50">
        <f>IF(AN29=0,J29,0)</f>
      </c>
      <c r="AK29" s="50">
        <f>IF(AN29=12,J29,0)</f>
      </c>
      <c r="AL29" s="50">
        <f>IF(AN29=21,J29,0)</f>
      </c>
      <c r="AN29" s="50" t="n">
        <v>21</v>
      </c>
      <c r="AO29" s="50">
        <f>G29*0.244230427</f>
      </c>
      <c r="AP29" s="50">
        <f>G29*(1-0.244230427)</f>
      </c>
      <c r="AQ29" s="53" t="s">
        <v>50</v>
      </c>
      <c r="AV29" s="50">
        <f>ROUND(AW29+AX29,2)</f>
      </c>
      <c r="AW29" s="50">
        <f>ROUND(F29*AO29,2)</f>
      </c>
      <c r="AX29" s="50">
        <f>ROUND(F29*AP29,2)</f>
      </c>
      <c r="AY29" s="53" t="s">
        <v>82</v>
      </c>
      <c r="AZ29" s="53" t="s">
        <v>83</v>
      </c>
      <c r="BA29" s="32" t="s">
        <v>57</v>
      </c>
      <c r="BC29" s="50">
        <f>AW29+AX29</f>
      </c>
      <c r="BD29" s="50">
        <f>G29/(100-BE29)*100</f>
      </c>
      <c r="BE29" s="50" t="n">
        <v>0</v>
      </c>
      <c r="BF29" s="50">
        <f>29</f>
      </c>
      <c r="BH29" s="50">
        <f>F29*AO29</f>
      </c>
      <c r="BI29" s="50">
        <f>F29*AP29</f>
      </c>
      <c r="BJ29" s="50">
        <f>F29*G29</f>
      </c>
      <c r="BK29" s="53" t="s">
        <v>58</v>
      </c>
      <c r="BL29" s="50" t="n">
        <v>61</v>
      </c>
      <c r="BW29" s="50" t="n">
        <v>21</v>
      </c>
      <c r="BX29" s="16" t="s">
        <v>101</v>
      </c>
    </row>
    <row r="30" customHeight="true" ht="13.5">
      <c r="A30" s="54"/>
      <c r="C30" s="55" t="s">
        <v>102</v>
      </c>
      <c r="D30" s="56"/>
      <c r="E30" s="56"/>
      <c r="F30" s="56"/>
      <c r="G30" s="57"/>
      <c r="H30" s="56"/>
      <c r="I30" s="56"/>
      <c r="J30" s="56"/>
      <c r="K30" s="58"/>
    </row>
    <row r="31">
      <c r="A31" s="10" t="s">
        <v>103</v>
      </c>
      <c r="B31" s="11" t="s">
        <v>104</v>
      </c>
      <c r="C31" s="16" t="s">
        <v>105</v>
      </c>
      <c r="D31" s="11"/>
      <c r="E31" s="11" t="s">
        <v>65</v>
      </c>
      <c r="F31" s="50" t="n">
        <v>15</v>
      </c>
      <c r="G31" s="51" t="n">
        <v>0</v>
      </c>
      <c r="H31" s="50">
        <f>ROUND(F31*AO31,2)</f>
      </c>
      <c r="I31" s="50">
        <f>ROUND(F31*AP31,2)</f>
      </c>
      <c r="J31" s="50">
        <f>ROUND(F31*G31,2)</f>
      </c>
      <c r="K31" s="52" t="s">
        <v>54</v>
      </c>
      <c r="Z31" s="50">
        <f>ROUND(IF(AQ31="5",BJ31,0),2)</f>
      </c>
      <c r="AB31" s="50">
        <f>ROUND(IF(AQ31="1",BH31,0),2)</f>
      </c>
      <c r="AC31" s="50">
        <f>ROUND(IF(AQ31="1",BI31,0),2)</f>
      </c>
      <c r="AD31" s="50">
        <f>ROUND(IF(AQ31="7",BH31,0),2)</f>
      </c>
      <c r="AE31" s="50">
        <f>ROUND(IF(AQ31="7",BI31,0),2)</f>
      </c>
      <c r="AF31" s="50">
        <f>ROUND(IF(AQ31="2",BH31,0),2)</f>
      </c>
      <c r="AG31" s="50">
        <f>ROUND(IF(AQ31="2",BI31,0),2)</f>
      </c>
      <c r="AH31" s="50">
        <f>ROUND(IF(AQ31="0",BJ31,0),2)</f>
      </c>
      <c r="AI31" s="32" t="s">
        <v>47</v>
      </c>
      <c r="AJ31" s="50">
        <f>IF(AN31=0,J31,0)</f>
      </c>
      <c r="AK31" s="50">
        <f>IF(AN31=12,J31,0)</f>
      </c>
      <c r="AL31" s="50">
        <f>IF(AN31=21,J31,0)</f>
      </c>
      <c r="AN31" s="50" t="n">
        <v>21</v>
      </c>
      <c r="AO31" s="50">
        <f>G31*0.286423611</f>
      </c>
      <c r="AP31" s="50">
        <f>G31*(1-0.286423611)</f>
      </c>
      <c r="AQ31" s="53" t="s">
        <v>50</v>
      </c>
      <c r="AV31" s="50">
        <f>ROUND(AW31+AX31,2)</f>
      </c>
      <c r="AW31" s="50">
        <f>ROUND(F31*AO31,2)</f>
      </c>
      <c r="AX31" s="50">
        <f>ROUND(F31*AP31,2)</f>
      </c>
      <c r="AY31" s="53" t="s">
        <v>82</v>
      </c>
      <c r="AZ31" s="53" t="s">
        <v>83</v>
      </c>
      <c r="BA31" s="32" t="s">
        <v>57</v>
      </c>
      <c r="BC31" s="50">
        <f>AW31+AX31</f>
      </c>
      <c r="BD31" s="50">
        <f>G31/(100-BE31)*100</f>
      </c>
      <c r="BE31" s="50" t="n">
        <v>0</v>
      </c>
      <c r="BF31" s="50">
        <f>31</f>
      </c>
      <c r="BH31" s="50">
        <f>F31*AO31</f>
      </c>
      <c r="BI31" s="50">
        <f>F31*AP31</f>
      </c>
      <c r="BJ31" s="50">
        <f>F31*G31</f>
      </c>
      <c r="BK31" s="53" t="s">
        <v>58</v>
      </c>
      <c r="BL31" s="50" t="n">
        <v>61</v>
      </c>
      <c r="BW31" s="50" t="n">
        <v>21</v>
      </c>
      <c r="BX31" s="16" t="s">
        <v>105</v>
      </c>
    </row>
    <row r="32" customHeight="true" ht="13.5">
      <c r="A32" s="54"/>
      <c r="C32" s="55" t="s">
        <v>87</v>
      </c>
      <c r="D32" s="56"/>
      <c r="E32" s="56"/>
      <c r="F32" s="56"/>
      <c r="G32" s="57"/>
      <c r="H32" s="56"/>
      <c r="I32" s="56"/>
      <c r="J32" s="56"/>
      <c r="K32" s="58"/>
    </row>
    <row r="33">
      <c r="A33" s="10" t="s">
        <v>106</v>
      </c>
      <c r="B33" s="11" t="s">
        <v>107</v>
      </c>
      <c r="C33" s="16" t="s">
        <v>108</v>
      </c>
      <c r="D33" s="11"/>
      <c r="E33" s="11" t="s">
        <v>65</v>
      </c>
      <c r="F33" s="50" t="n">
        <v>5</v>
      </c>
      <c r="G33" s="51" t="n">
        <v>0</v>
      </c>
      <c r="H33" s="50">
        <f>ROUND(F33*AO33,2)</f>
      </c>
      <c r="I33" s="50">
        <f>ROUND(F33*AP33,2)</f>
      </c>
      <c r="J33" s="50">
        <f>ROUND(F33*G33,2)</f>
      </c>
      <c r="K33" s="52" t="s">
        <v>54</v>
      </c>
      <c r="Z33" s="50">
        <f>ROUND(IF(AQ33="5",BJ33,0),2)</f>
      </c>
      <c r="AB33" s="50">
        <f>ROUND(IF(AQ33="1",BH33,0),2)</f>
      </c>
      <c r="AC33" s="50">
        <f>ROUND(IF(AQ33="1",BI33,0),2)</f>
      </c>
      <c r="AD33" s="50">
        <f>ROUND(IF(AQ33="7",BH33,0),2)</f>
      </c>
      <c r="AE33" s="50">
        <f>ROUND(IF(AQ33="7",BI33,0),2)</f>
      </c>
      <c r="AF33" s="50">
        <f>ROUND(IF(AQ33="2",BH33,0),2)</f>
      </c>
      <c r="AG33" s="50">
        <f>ROUND(IF(AQ33="2",BI33,0),2)</f>
      </c>
      <c r="AH33" s="50">
        <f>ROUND(IF(AQ33="0",BJ33,0),2)</f>
      </c>
      <c r="AI33" s="32" t="s">
        <v>47</v>
      </c>
      <c r="AJ33" s="50">
        <f>IF(AN33=0,J33,0)</f>
      </c>
      <c r="AK33" s="50">
        <f>IF(AN33=12,J33,0)</f>
      </c>
      <c r="AL33" s="50">
        <f>IF(AN33=21,J33,0)</f>
      </c>
      <c r="AN33" s="50" t="n">
        <v>21</v>
      </c>
      <c r="AO33" s="50">
        <f>G33*0.459378641</f>
      </c>
      <c r="AP33" s="50">
        <f>G33*(1-0.459378641)</f>
      </c>
      <c r="AQ33" s="53" t="s">
        <v>50</v>
      </c>
      <c r="AV33" s="50">
        <f>ROUND(AW33+AX33,2)</f>
      </c>
      <c r="AW33" s="50">
        <f>ROUND(F33*AO33,2)</f>
      </c>
      <c r="AX33" s="50">
        <f>ROUND(F33*AP33,2)</f>
      </c>
      <c r="AY33" s="53" t="s">
        <v>82</v>
      </c>
      <c r="AZ33" s="53" t="s">
        <v>83</v>
      </c>
      <c r="BA33" s="32" t="s">
        <v>57</v>
      </c>
      <c r="BC33" s="50">
        <f>AW33+AX33</f>
      </c>
      <c r="BD33" s="50">
        <f>G33/(100-BE33)*100</f>
      </c>
      <c r="BE33" s="50" t="n">
        <v>0</v>
      </c>
      <c r="BF33" s="50">
        <f>33</f>
      </c>
      <c r="BH33" s="50">
        <f>F33*AO33</f>
      </c>
      <c r="BI33" s="50">
        <f>F33*AP33</f>
      </c>
      <c r="BJ33" s="50">
        <f>F33*G33</f>
      </c>
      <c r="BK33" s="53" t="s">
        <v>58</v>
      </c>
      <c r="BL33" s="50" t="n">
        <v>61</v>
      </c>
      <c r="BW33" s="50" t="n">
        <v>21</v>
      </c>
      <c r="BX33" s="16" t="s">
        <v>108</v>
      </c>
    </row>
    <row r="34" customHeight="true" ht="13.5">
      <c r="A34" s="54"/>
      <c r="C34" s="55" t="s">
        <v>87</v>
      </c>
      <c r="D34" s="56"/>
      <c r="E34" s="56"/>
      <c r="F34" s="56"/>
      <c r="G34" s="57"/>
      <c r="H34" s="56"/>
      <c r="I34" s="56"/>
      <c r="J34" s="56"/>
      <c r="K34" s="58"/>
    </row>
    <row r="35">
      <c r="A35" s="10" t="s">
        <v>109</v>
      </c>
      <c r="B35" s="11" t="s">
        <v>110</v>
      </c>
      <c r="C35" s="16" t="s">
        <v>111</v>
      </c>
      <c r="D35" s="11"/>
      <c r="E35" s="11" t="s">
        <v>65</v>
      </c>
      <c r="F35" s="50" t="n">
        <v>31.33</v>
      </c>
      <c r="G35" s="51" t="n">
        <v>0</v>
      </c>
      <c r="H35" s="50">
        <f>ROUND(F35*AO35,2)</f>
      </c>
      <c r="I35" s="50">
        <f>ROUND(F35*AP35,2)</f>
      </c>
      <c r="J35" s="50">
        <f>ROUND(F35*G35,2)</f>
      </c>
      <c r="K35" s="52" t="s">
        <v>54</v>
      </c>
      <c r="Z35" s="50">
        <f>ROUND(IF(AQ35="5",BJ35,0),2)</f>
      </c>
      <c r="AB35" s="50">
        <f>ROUND(IF(AQ35="1",BH35,0),2)</f>
      </c>
      <c r="AC35" s="50">
        <f>ROUND(IF(AQ35="1",BI35,0),2)</f>
      </c>
      <c r="AD35" s="50">
        <f>ROUND(IF(AQ35="7",BH35,0),2)</f>
      </c>
      <c r="AE35" s="50">
        <f>ROUND(IF(AQ35="7",BI35,0),2)</f>
      </c>
      <c r="AF35" s="50">
        <f>ROUND(IF(AQ35="2",BH35,0),2)</f>
      </c>
      <c r="AG35" s="50">
        <f>ROUND(IF(AQ35="2",BI35,0),2)</f>
      </c>
      <c r="AH35" s="50">
        <f>ROUND(IF(AQ35="0",BJ35,0),2)</f>
      </c>
      <c r="AI35" s="32" t="s">
        <v>47</v>
      </c>
      <c r="AJ35" s="50">
        <f>IF(AN35=0,J35,0)</f>
      </c>
      <c r="AK35" s="50">
        <f>IF(AN35=12,J35,0)</f>
      </c>
      <c r="AL35" s="50">
        <f>IF(AN35=21,J35,0)</f>
      </c>
      <c r="AN35" s="50" t="n">
        <v>21</v>
      </c>
      <c r="AO35" s="50">
        <f>G35*0.149354545</f>
      </c>
      <c r="AP35" s="50">
        <f>G35*(1-0.149354545)</f>
      </c>
      <c r="AQ35" s="53" t="s">
        <v>50</v>
      </c>
      <c r="AV35" s="50">
        <f>ROUND(AW35+AX35,2)</f>
      </c>
      <c r="AW35" s="50">
        <f>ROUND(F35*AO35,2)</f>
      </c>
      <c r="AX35" s="50">
        <f>ROUND(F35*AP35,2)</f>
      </c>
      <c r="AY35" s="53" t="s">
        <v>82</v>
      </c>
      <c r="AZ35" s="53" t="s">
        <v>83</v>
      </c>
      <c r="BA35" s="32" t="s">
        <v>57</v>
      </c>
      <c r="BC35" s="50">
        <f>AW35+AX35</f>
      </c>
      <c r="BD35" s="50">
        <f>G35/(100-BE35)*100</f>
      </c>
      <c r="BE35" s="50" t="n">
        <v>0</v>
      </c>
      <c r="BF35" s="50">
        <f>35</f>
      </c>
      <c r="BH35" s="50">
        <f>F35*AO35</f>
      </c>
      <c r="BI35" s="50">
        <f>F35*AP35</f>
      </c>
      <c r="BJ35" s="50">
        <f>F35*G35</f>
      </c>
      <c r="BK35" s="53" t="s">
        <v>58</v>
      </c>
      <c r="BL35" s="50" t="n">
        <v>61</v>
      </c>
      <c r="BW35" s="50" t="n">
        <v>21</v>
      </c>
      <c r="BX35" s="16" t="s">
        <v>111</v>
      </c>
    </row>
    <row r="36">
      <c r="A36" s="10" t="s">
        <v>112</v>
      </c>
      <c r="B36" s="11" t="s">
        <v>113</v>
      </c>
      <c r="C36" s="16" t="s">
        <v>114</v>
      </c>
      <c r="D36" s="11"/>
      <c r="E36" s="11" t="s">
        <v>65</v>
      </c>
      <c r="F36" s="50" t="n">
        <v>24.33</v>
      </c>
      <c r="G36" s="51" t="n">
        <v>0</v>
      </c>
      <c r="H36" s="50">
        <f>ROUND(F36*AO36,2)</f>
      </c>
      <c r="I36" s="50">
        <f>ROUND(F36*AP36,2)</f>
      </c>
      <c r="J36" s="50">
        <f>ROUND(F36*G36,2)</f>
      </c>
      <c r="K36" s="52" t="s">
        <v>54</v>
      </c>
      <c r="Z36" s="50">
        <f>ROUND(IF(AQ36="5",BJ36,0),2)</f>
      </c>
      <c r="AB36" s="50">
        <f>ROUND(IF(AQ36="1",BH36,0),2)</f>
      </c>
      <c r="AC36" s="50">
        <f>ROUND(IF(AQ36="1",BI36,0),2)</f>
      </c>
      <c r="AD36" s="50">
        <f>ROUND(IF(AQ36="7",BH36,0),2)</f>
      </c>
      <c r="AE36" s="50">
        <f>ROUND(IF(AQ36="7",BI36,0),2)</f>
      </c>
      <c r="AF36" s="50">
        <f>ROUND(IF(AQ36="2",BH36,0),2)</f>
      </c>
      <c r="AG36" s="50">
        <f>ROUND(IF(AQ36="2",BI36,0),2)</f>
      </c>
      <c r="AH36" s="50">
        <f>ROUND(IF(AQ36="0",BJ36,0),2)</f>
      </c>
      <c r="AI36" s="32" t="s">
        <v>47</v>
      </c>
      <c r="AJ36" s="50">
        <f>IF(AN36=0,J36,0)</f>
      </c>
      <c r="AK36" s="50">
        <f>IF(AN36=12,J36,0)</f>
      </c>
      <c r="AL36" s="50">
        <f>IF(AN36=21,J36,0)</f>
      </c>
      <c r="AN36" s="50" t="n">
        <v>21</v>
      </c>
      <c r="AO36" s="50">
        <f>G36*0.036071538</f>
      </c>
      <c r="AP36" s="50">
        <f>G36*(1-0.036071538)</f>
      </c>
      <c r="AQ36" s="53" t="s">
        <v>50</v>
      </c>
      <c r="AV36" s="50">
        <f>ROUND(AW36+AX36,2)</f>
      </c>
      <c r="AW36" s="50">
        <f>ROUND(F36*AO36,2)</f>
      </c>
      <c r="AX36" s="50">
        <f>ROUND(F36*AP36,2)</f>
      </c>
      <c r="AY36" s="53" t="s">
        <v>82</v>
      </c>
      <c r="AZ36" s="53" t="s">
        <v>83</v>
      </c>
      <c r="BA36" s="32" t="s">
        <v>57</v>
      </c>
      <c r="BC36" s="50">
        <f>AW36+AX36</f>
      </c>
      <c r="BD36" s="50">
        <f>G36/(100-BE36)*100</f>
      </c>
      <c r="BE36" s="50" t="n">
        <v>0</v>
      </c>
      <c r="BF36" s="50">
        <f>36</f>
      </c>
      <c r="BH36" s="50">
        <f>F36*AO36</f>
      </c>
      <c r="BI36" s="50">
        <f>F36*AP36</f>
      </c>
      <c r="BJ36" s="50">
        <f>F36*G36</f>
      </c>
      <c r="BK36" s="53" t="s">
        <v>58</v>
      </c>
      <c r="BL36" s="50" t="n">
        <v>61</v>
      </c>
      <c r="BW36" s="50" t="n">
        <v>21</v>
      </c>
      <c r="BX36" s="16" t="s">
        <v>114</v>
      </c>
    </row>
    <row r="37">
      <c r="A37" s="10" t="s">
        <v>115</v>
      </c>
      <c r="B37" s="11" t="s">
        <v>116</v>
      </c>
      <c r="C37" s="16" t="s">
        <v>117</v>
      </c>
      <c r="D37" s="11"/>
      <c r="E37" s="11" t="s">
        <v>95</v>
      </c>
      <c r="F37" s="50" t="n">
        <v>28.96</v>
      </c>
      <c r="G37" s="51" t="n">
        <v>0</v>
      </c>
      <c r="H37" s="50">
        <f>ROUND(F37*AO37,2)</f>
      </c>
      <c r="I37" s="50">
        <f>ROUND(F37*AP37,2)</f>
      </c>
      <c r="J37" s="50">
        <f>ROUND(F37*G37,2)</f>
      </c>
      <c r="K37" s="52" t="s">
        <v>54</v>
      </c>
      <c r="Z37" s="50">
        <f>ROUND(IF(AQ37="5",BJ37,0),2)</f>
      </c>
      <c r="AB37" s="50">
        <f>ROUND(IF(AQ37="1",BH37,0),2)</f>
      </c>
      <c r="AC37" s="50">
        <f>ROUND(IF(AQ37="1",BI37,0),2)</f>
      </c>
      <c r="AD37" s="50">
        <f>ROUND(IF(AQ37="7",BH37,0),2)</f>
      </c>
      <c r="AE37" s="50">
        <f>ROUND(IF(AQ37="7",BI37,0),2)</f>
      </c>
      <c r="AF37" s="50">
        <f>ROUND(IF(AQ37="2",BH37,0),2)</f>
      </c>
      <c r="AG37" s="50">
        <f>ROUND(IF(AQ37="2",BI37,0),2)</f>
      </c>
      <c r="AH37" s="50">
        <f>ROUND(IF(AQ37="0",BJ37,0),2)</f>
      </c>
      <c r="AI37" s="32" t="s">
        <v>47</v>
      </c>
      <c r="AJ37" s="50">
        <f>IF(AN37=0,J37,0)</f>
      </c>
      <c r="AK37" s="50">
        <f>IF(AN37=12,J37,0)</f>
      </c>
      <c r="AL37" s="50">
        <f>IF(AN37=21,J37,0)</f>
      </c>
      <c r="AN37" s="50" t="n">
        <v>21</v>
      </c>
      <c r="AO37" s="50">
        <f>G37*0.358273125</f>
      </c>
      <c r="AP37" s="50">
        <f>G37*(1-0.358273125)</f>
      </c>
      <c r="AQ37" s="53" t="s">
        <v>50</v>
      </c>
      <c r="AV37" s="50">
        <f>ROUND(AW37+AX37,2)</f>
      </c>
      <c r="AW37" s="50">
        <f>ROUND(F37*AO37,2)</f>
      </c>
      <c r="AX37" s="50">
        <f>ROUND(F37*AP37,2)</f>
      </c>
      <c r="AY37" s="53" t="s">
        <v>82</v>
      </c>
      <c r="AZ37" s="53" t="s">
        <v>83</v>
      </c>
      <c r="BA37" s="32" t="s">
        <v>57</v>
      </c>
      <c r="BC37" s="50">
        <f>AW37+AX37</f>
      </c>
      <c r="BD37" s="50">
        <f>G37/(100-BE37)*100</f>
      </c>
      <c r="BE37" s="50" t="n">
        <v>0</v>
      </c>
      <c r="BF37" s="50">
        <f>37</f>
      </c>
      <c r="BH37" s="50">
        <f>F37*AO37</f>
      </c>
      <c r="BI37" s="50">
        <f>F37*AP37</f>
      </c>
      <c r="BJ37" s="50">
        <f>F37*G37</f>
      </c>
      <c r="BK37" s="53" t="s">
        <v>58</v>
      </c>
      <c r="BL37" s="50" t="n">
        <v>61</v>
      </c>
      <c r="BW37" s="50" t="n">
        <v>21</v>
      </c>
      <c r="BX37" s="16" t="s">
        <v>117</v>
      </c>
    </row>
    <row r="38">
      <c r="A38" s="10" t="s">
        <v>118</v>
      </c>
      <c r="B38" s="11" t="s">
        <v>119</v>
      </c>
      <c r="C38" s="16" t="s">
        <v>120</v>
      </c>
      <c r="D38" s="11"/>
      <c r="E38" s="11" t="s">
        <v>53</v>
      </c>
      <c r="F38" s="50" t="n">
        <v>15</v>
      </c>
      <c r="G38" s="51" t="n">
        <v>0</v>
      </c>
      <c r="H38" s="50">
        <f>ROUND(F38*AO38,2)</f>
      </c>
      <c r="I38" s="50">
        <f>ROUND(F38*AP38,2)</f>
      </c>
      <c r="J38" s="50">
        <f>ROUND(F38*G38,2)</f>
      </c>
      <c r="K38" s="52" t="s">
        <v>54</v>
      </c>
      <c r="Z38" s="50">
        <f>ROUND(IF(AQ38="5",BJ38,0),2)</f>
      </c>
      <c r="AB38" s="50">
        <f>ROUND(IF(AQ38="1",BH38,0),2)</f>
      </c>
      <c r="AC38" s="50">
        <f>ROUND(IF(AQ38="1",BI38,0),2)</f>
      </c>
      <c r="AD38" s="50">
        <f>ROUND(IF(AQ38="7",BH38,0),2)</f>
      </c>
      <c r="AE38" s="50">
        <f>ROUND(IF(AQ38="7",BI38,0),2)</f>
      </c>
      <c r="AF38" s="50">
        <f>ROUND(IF(AQ38="2",BH38,0),2)</f>
      </c>
      <c r="AG38" s="50">
        <f>ROUND(IF(AQ38="2",BI38,0),2)</f>
      </c>
      <c r="AH38" s="50">
        <f>ROUND(IF(AQ38="0",BJ38,0),2)</f>
      </c>
      <c r="AI38" s="32" t="s">
        <v>47</v>
      </c>
      <c r="AJ38" s="50">
        <f>IF(AN38=0,J38,0)</f>
      </c>
      <c r="AK38" s="50">
        <f>IF(AN38=12,J38,0)</f>
      </c>
      <c r="AL38" s="50">
        <f>IF(AN38=21,J38,0)</f>
      </c>
      <c r="AN38" s="50" t="n">
        <v>21</v>
      </c>
      <c r="AO38" s="50">
        <f>G38*0.137517532</f>
      </c>
      <c r="AP38" s="50">
        <f>G38*(1-0.137517532)</f>
      </c>
      <c r="AQ38" s="53" t="s">
        <v>50</v>
      </c>
      <c r="AV38" s="50">
        <f>ROUND(AW38+AX38,2)</f>
      </c>
      <c r="AW38" s="50">
        <f>ROUND(F38*AO38,2)</f>
      </c>
      <c r="AX38" s="50">
        <f>ROUND(F38*AP38,2)</f>
      </c>
      <c r="AY38" s="53" t="s">
        <v>82</v>
      </c>
      <c r="AZ38" s="53" t="s">
        <v>83</v>
      </c>
      <c r="BA38" s="32" t="s">
        <v>57</v>
      </c>
      <c r="BC38" s="50">
        <f>AW38+AX38</f>
      </c>
      <c r="BD38" s="50">
        <f>G38/(100-BE38)*100</f>
      </c>
      <c r="BE38" s="50" t="n">
        <v>0</v>
      </c>
      <c r="BF38" s="50">
        <f>38</f>
      </c>
      <c r="BH38" s="50">
        <f>F38*AO38</f>
      </c>
      <c r="BI38" s="50">
        <f>F38*AP38</f>
      </c>
      <c r="BJ38" s="50">
        <f>F38*G38</f>
      </c>
      <c r="BK38" s="53" t="s">
        <v>58</v>
      </c>
      <c r="BL38" s="50" t="n">
        <v>61</v>
      </c>
      <c r="BW38" s="50" t="n">
        <v>21</v>
      </c>
      <c r="BX38" s="16" t="s">
        <v>120</v>
      </c>
    </row>
    <row r="39">
      <c r="A39" s="10" t="s">
        <v>121</v>
      </c>
      <c r="B39" s="11" t="s">
        <v>122</v>
      </c>
      <c r="C39" s="16" t="s">
        <v>123</v>
      </c>
      <c r="D39" s="11"/>
      <c r="E39" s="11" t="s">
        <v>65</v>
      </c>
      <c r="F39" s="50" t="n">
        <v>20</v>
      </c>
      <c r="G39" s="51" t="n">
        <v>0</v>
      </c>
      <c r="H39" s="50">
        <f>ROUND(F39*AO39,2)</f>
      </c>
      <c r="I39" s="50">
        <f>ROUND(F39*AP39,2)</f>
      </c>
      <c r="J39" s="50">
        <f>ROUND(F39*G39,2)</f>
      </c>
      <c r="K39" s="52" t="s">
        <v>54</v>
      </c>
      <c r="Z39" s="50">
        <f>ROUND(IF(AQ39="5",BJ39,0),2)</f>
      </c>
      <c r="AB39" s="50">
        <f>ROUND(IF(AQ39="1",BH39,0),2)</f>
      </c>
      <c r="AC39" s="50">
        <f>ROUND(IF(AQ39="1",BI39,0),2)</f>
      </c>
      <c r="AD39" s="50">
        <f>ROUND(IF(AQ39="7",BH39,0),2)</f>
      </c>
      <c r="AE39" s="50">
        <f>ROUND(IF(AQ39="7",BI39,0),2)</f>
      </c>
      <c r="AF39" s="50">
        <f>ROUND(IF(AQ39="2",BH39,0),2)</f>
      </c>
      <c r="AG39" s="50">
        <f>ROUND(IF(AQ39="2",BI39,0),2)</f>
      </c>
      <c r="AH39" s="50">
        <f>ROUND(IF(AQ39="0",BJ39,0),2)</f>
      </c>
      <c r="AI39" s="32" t="s">
        <v>47</v>
      </c>
      <c r="AJ39" s="50">
        <f>IF(AN39=0,J39,0)</f>
      </c>
      <c r="AK39" s="50">
        <f>IF(AN39=12,J39,0)</f>
      </c>
      <c r="AL39" s="50">
        <f>IF(AN39=21,J39,0)</f>
      </c>
      <c r="AN39" s="50" t="n">
        <v>21</v>
      </c>
      <c r="AO39" s="50">
        <f>G39*0.144446752</f>
      </c>
      <c r="AP39" s="50">
        <f>G39*(1-0.144446752)</f>
      </c>
      <c r="AQ39" s="53" t="s">
        <v>50</v>
      </c>
      <c r="AV39" s="50">
        <f>ROUND(AW39+AX39,2)</f>
      </c>
      <c r="AW39" s="50">
        <f>ROUND(F39*AO39,2)</f>
      </c>
      <c r="AX39" s="50">
        <f>ROUND(F39*AP39,2)</f>
      </c>
      <c r="AY39" s="53" t="s">
        <v>82</v>
      </c>
      <c r="AZ39" s="53" t="s">
        <v>83</v>
      </c>
      <c r="BA39" s="32" t="s">
        <v>57</v>
      </c>
      <c r="BC39" s="50">
        <f>AW39+AX39</f>
      </c>
      <c r="BD39" s="50">
        <f>G39/(100-BE39)*100</f>
      </c>
      <c r="BE39" s="50" t="n">
        <v>0</v>
      </c>
      <c r="BF39" s="50">
        <f>39</f>
      </c>
      <c r="BH39" s="50">
        <f>F39*AO39</f>
      </c>
      <c r="BI39" s="50">
        <f>F39*AP39</f>
      </c>
      <c r="BJ39" s="50">
        <f>F39*G39</f>
      </c>
      <c r="BK39" s="53" t="s">
        <v>58</v>
      </c>
      <c r="BL39" s="50" t="n">
        <v>61</v>
      </c>
      <c r="BW39" s="50" t="n">
        <v>21</v>
      </c>
      <c r="BX39" s="16" t="s">
        <v>123</v>
      </c>
    </row>
    <row r="40">
      <c r="A40" s="59" t="s">
        <v>47</v>
      </c>
      <c r="B40" s="60" t="s">
        <v>124</v>
      </c>
      <c r="C40" s="61" t="s">
        <v>125</v>
      </c>
      <c r="D40" s="60"/>
      <c r="E40" s="62" t="s">
        <v>4</v>
      </c>
      <c r="F40" s="62" t="s">
        <v>4</v>
      </c>
      <c r="G40" s="63" t="s">
        <v>4</v>
      </c>
      <c r="H40" s="2">
        <f>SUM(H41:H41)</f>
      </c>
      <c r="I40" s="2">
        <f>SUM(I41:I41)</f>
      </c>
      <c r="J40" s="2">
        <f>SUM(J41:J41)</f>
      </c>
      <c r="K40" s="64" t="s">
        <v>47</v>
      </c>
      <c r="AI40" s="32" t="s">
        <v>47</v>
      </c>
      <c r="AS40" s="2">
        <f>SUM(AJ41:AJ41)</f>
      </c>
      <c r="AT40" s="2">
        <f>SUM(AK41:AK41)</f>
      </c>
      <c r="AU40" s="2">
        <f>SUM(AL41:AL41)</f>
      </c>
    </row>
    <row r="41">
      <c r="A41" s="10" t="s">
        <v>126</v>
      </c>
      <c r="B41" s="11" t="s">
        <v>127</v>
      </c>
      <c r="C41" s="16" t="s">
        <v>128</v>
      </c>
      <c r="D41" s="11"/>
      <c r="E41" s="11" t="s">
        <v>129</v>
      </c>
      <c r="F41" s="50" t="n">
        <v>5.58231</v>
      </c>
      <c r="G41" s="51" t="n">
        <v>0</v>
      </c>
      <c r="H41" s="50">
        <f>ROUND(F41*AO41,2)</f>
      </c>
      <c r="I41" s="50">
        <f>ROUND(F41*AP41,2)</f>
      </c>
      <c r="J41" s="50">
        <f>ROUND(F41*G41,2)</f>
      </c>
      <c r="K41" s="52" t="s">
        <v>54</v>
      </c>
      <c r="Z41" s="50">
        <f>ROUND(IF(AQ41="5",BJ41,0),2)</f>
      </c>
      <c r="AB41" s="50">
        <f>ROUND(IF(AQ41="1",BH41,0),2)</f>
      </c>
      <c r="AC41" s="50">
        <f>ROUND(IF(AQ41="1",BI41,0),2)</f>
      </c>
      <c r="AD41" s="50">
        <f>ROUND(IF(AQ41="7",BH41,0),2)</f>
      </c>
      <c r="AE41" s="50">
        <f>ROUND(IF(AQ41="7",BI41,0),2)</f>
      </c>
      <c r="AF41" s="50">
        <f>ROUND(IF(AQ41="2",BH41,0),2)</f>
      </c>
      <c r="AG41" s="50">
        <f>ROUND(IF(AQ41="2",BI41,0),2)</f>
      </c>
      <c r="AH41" s="50">
        <f>ROUND(IF(AQ41="0",BJ41,0),2)</f>
      </c>
      <c r="AI41" s="32" t="s">
        <v>47</v>
      </c>
      <c r="AJ41" s="50">
        <f>IF(AN41=0,J41,0)</f>
      </c>
      <c r="AK41" s="50">
        <f>IF(AN41=12,J41,0)</f>
      </c>
      <c r="AL41" s="50">
        <f>IF(AN41=21,J41,0)</f>
      </c>
      <c r="AN41" s="50" t="n">
        <v>21</v>
      </c>
      <c r="AO41" s="50">
        <f>G41*0.559334446</f>
      </c>
      <c r="AP41" s="50">
        <f>G41*(1-0.559334446)</f>
      </c>
      <c r="AQ41" s="53" t="s">
        <v>50</v>
      </c>
      <c r="AV41" s="50">
        <f>ROUND(AW41+AX41,2)</f>
      </c>
      <c r="AW41" s="50">
        <f>ROUND(F41*AO41,2)</f>
      </c>
      <c r="AX41" s="50">
        <f>ROUND(F41*AP41,2)</f>
      </c>
      <c r="AY41" s="53" t="s">
        <v>130</v>
      </c>
      <c r="AZ41" s="53" t="s">
        <v>83</v>
      </c>
      <c r="BA41" s="32" t="s">
        <v>57</v>
      </c>
      <c r="BC41" s="50">
        <f>AW41+AX41</f>
      </c>
      <c r="BD41" s="50">
        <f>G41/(100-BE41)*100</f>
      </c>
      <c r="BE41" s="50" t="n">
        <v>0</v>
      </c>
      <c r="BF41" s="50">
        <f>41</f>
      </c>
      <c r="BH41" s="50">
        <f>F41*AO41</f>
      </c>
      <c r="BI41" s="50">
        <f>F41*AP41</f>
      </c>
      <c r="BJ41" s="50">
        <f>F41*G41</f>
      </c>
      <c r="BK41" s="53" t="s">
        <v>58</v>
      </c>
      <c r="BL41" s="50" t="n">
        <v>63</v>
      </c>
      <c r="BW41" s="50" t="n">
        <v>21</v>
      </c>
      <c r="BX41" s="16" t="s">
        <v>128</v>
      </c>
    </row>
    <row r="42">
      <c r="A42" s="59" t="s">
        <v>47</v>
      </c>
      <c r="B42" s="60" t="s">
        <v>131</v>
      </c>
      <c r="C42" s="61" t="s">
        <v>132</v>
      </c>
      <c r="D42" s="60"/>
      <c r="E42" s="62" t="s">
        <v>4</v>
      </c>
      <c r="F42" s="62" t="s">
        <v>4</v>
      </c>
      <c r="G42" s="63" t="s">
        <v>4</v>
      </c>
      <c r="H42" s="2">
        <f>SUM(H43:H43)</f>
      </c>
      <c r="I42" s="2">
        <f>SUM(I43:I43)</f>
      </c>
      <c r="J42" s="2">
        <f>SUM(J43:J43)</f>
      </c>
      <c r="K42" s="64" t="s">
        <v>47</v>
      </c>
      <c r="AI42" s="32" t="s">
        <v>47</v>
      </c>
      <c r="AS42" s="2">
        <f>SUM(AJ43:AJ43)</f>
      </c>
      <c r="AT42" s="2">
        <f>SUM(AK43:AK43)</f>
      </c>
      <c r="AU42" s="2">
        <f>SUM(AL43:AL43)</f>
      </c>
    </row>
    <row r="43">
      <c r="A43" s="10" t="s">
        <v>133</v>
      </c>
      <c r="B43" s="11" t="s">
        <v>134</v>
      </c>
      <c r="C43" s="16" t="s">
        <v>135</v>
      </c>
      <c r="D43" s="11"/>
      <c r="E43" s="11" t="s">
        <v>53</v>
      </c>
      <c r="F43" s="50" t="n">
        <v>3</v>
      </c>
      <c r="G43" s="51" t="n">
        <v>0</v>
      </c>
      <c r="H43" s="50">
        <f>ROUND(F43*AO43,2)</f>
      </c>
      <c r="I43" s="50">
        <f>ROUND(F43*AP43,2)</f>
      </c>
      <c r="J43" s="50">
        <f>ROUND(F43*G43,2)</f>
      </c>
      <c r="K43" s="52" t="s">
        <v>54</v>
      </c>
      <c r="Z43" s="50">
        <f>ROUND(IF(AQ43="5",BJ43,0),2)</f>
      </c>
      <c r="AB43" s="50">
        <f>ROUND(IF(AQ43="1",BH43,0),2)</f>
      </c>
      <c r="AC43" s="50">
        <f>ROUND(IF(AQ43="1",BI43,0),2)</f>
      </c>
      <c r="AD43" s="50">
        <f>ROUND(IF(AQ43="7",BH43,0),2)</f>
      </c>
      <c r="AE43" s="50">
        <f>ROUND(IF(AQ43="7",BI43,0),2)</f>
      </c>
      <c r="AF43" s="50">
        <f>ROUND(IF(AQ43="2",BH43,0),2)</f>
      </c>
      <c r="AG43" s="50">
        <f>ROUND(IF(AQ43="2",BI43,0),2)</f>
      </c>
      <c r="AH43" s="50">
        <f>ROUND(IF(AQ43="0",BJ43,0),2)</f>
      </c>
      <c r="AI43" s="32" t="s">
        <v>47</v>
      </c>
      <c r="AJ43" s="50">
        <f>IF(AN43=0,J43,0)</f>
      </c>
      <c r="AK43" s="50">
        <f>IF(AN43=12,J43,0)</f>
      </c>
      <c r="AL43" s="50">
        <f>IF(AN43=21,J43,0)</f>
      </c>
      <c r="AN43" s="50" t="n">
        <v>21</v>
      </c>
      <c r="AO43" s="50">
        <f>G43*0.585547895</f>
      </c>
      <c r="AP43" s="50">
        <f>G43*(1-0.585547895)</f>
      </c>
      <c r="AQ43" s="53" t="s">
        <v>50</v>
      </c>
      <c r="AV43" s="50">
        <f>ROUND(AW43+AX43,2)</f>
      </c>
      <c r="AW43" s="50">
        <f>ROUND(F43*AO43,2)</f>
      </c>
      <c r="AX43" s="50">
        <f>ROUND(F43*AP43,2)</f>
      </c>
      <c r="AY43" s="53" t="s">
        <v>136</v>
      </c>
      <c r="AZ43" s="53" t="s">
        <v>83</v>
      </c>
      <c r="BA43" s="32" t="s">
        <v>57</v>
      </c>
      <c r="BC43" s="50">
        <f>AW43+AX43</f>
      </c>
      <c r="BD43" s="50">
        <f>G43/(100-BE43)*100</f>
      </c>
      <c r="BE43" s="50" t="n">
        <v>0</v>
      </c>
      <c r="BF43" s="50">
        <f>43</f>
      </c>
      <c r="BH43" s="50">
        <f>F43*AO43</f>
      </c>
      <c r="BI43" s="50">
        <f>F43*AP43</f>
      </c>
      <c r="BJ43" s="50">
        <f>F43*G43</f>
      </c>
      <c r="BK43" s="53" t="s">
        <v>58</v>
      </c>
      <c r="BL43" s="50" t="n">
        <v>64</v>
      </c>
      <c r="BW43" s="50" t="n">
        <v>21</v>
      </c>
      <c r="BX43" s="16" t="s">
        <v>135</v>
      </c>
    </row>
    <row r="44" customHeight="true" ht="13.5">
      <c r="A44" s="54"/>
      <c r="C44" s="55" t="s">
        <v>137</v>
      </c>
      <c r="D44" s="56"/>
      <c r="E44" s="56"/>
      <c r="F44" s="56"/>
      <c r="G44" s="57"/>
      <c r="H44" s="56"/>
      <c r="I44" s="56"/>
      <c r="J44" s="56"/>
      <c r="K44" s="58"/>
    </row>
    <row r="45">
      <c r="A45" s="59" t="s">
        <v>47</v>
      </c>
      <c r="B45" s="60" t="s">
        <v>138</v>
      </c>
      <c r="C45" s="61" t="s">
        <v>139</v>
      </c>
      <c r="D45" s="60"/>
      <c r="E45" s="62" t="s">
        <v>4</v>
      </c>
      <c r="F45" s="62" t="s">
        <v>4</v>
      </c>
      <c r="G45" s="63" t="s">
        <v>4</v>
      </c>
      <c r="H45" s="2">
        <f>SUM(H46:H47)</f>
      </c>
      <c r="I45" s="2">
        <f>SUM(I46:I47)</f>
      </c>
      <c r="J45" s="2">
        <f>SUM(J46:J47)</f>
      </c>
      <c r="K45" s="64" t="s">
        <v>47</v>
      </c>
      <c r="AI45" s="32" t="s">
        <v>47</v>
      </c>
      <c r="AS45" s="2">
        <f>SUM(AJ46:AJ47)</f>
      </c>
      <c r="AT45" s="2">
        <f>SUM(AK46:AK47)</f>
      </c>
      <c r="AU45" s="2">
        <f>SUM(AL46:AL47)</f>
      </c>
    </row>
    <row r="46">
      <c r="A46" s="10" t="s">
        <v>140</v>
      </c>
      <c r="B46" s="11" t="s">
        <v>141</v>
      </c>
      <c r="C46" s="16" t="s">
        <v>142</v>
      </c>
      <c r="D46" s="11"/>
      <c r="E46" s="11" t="s">
        <v>53</v>
      </c>
      <c r="F46" s="50" t="n">
        <v>1</v>
      </c>
      <c r="G46" s="51" t="n">
        <v>0</v>
      </c>
      <c r="H46" s="50">
        <f>ROUND(F46*AO46,2)</f>
      </c>
      <c r="I46" s="50">
        <f>ROUND(F46*AP46,2)</f>
      </c>
      <c r="J46" s="50">
        <f>ROUND(F46*G46,2)</f>
      </c>
      <c r="K46" s="52" t="s">
        <v>54</v>
      </c>
      <c r="Z46" s="50">
        <f>ROUND(IF(AQ46="5",BJ46,0),2)</f>
      </c>
      <c r="AB46" s="50">
        <f>ROUND(IF(AQ46="1",BH46,0),2)</f>
      </c>
      <c r="AC46" s="50">
        <f>ROUND(IF(AQ46="1",BI46,0),2)</f>
      </c>
      <c r="AD46" s="50">
        <f>ROUND(IF(AQ46="7",BH46,0),2)</f>
      </c>
      <c r="AE46" s="50">
        <f>ROUND(IF(AQ46="7",BI46,0),2)</f>
      </c>
      <c r="AF46" s="50">
        <f>ROUND(IF(AQ46="2",BH46,0),2)</f>
      </c>
      <c r="AG46" s="50">
        <f>ROUND(IF(AQ46="2",BI46,0),2)</f>
      </c>
      <c r="AH46" s="50">
        <f>ROUND(IF(AQ46="0",BJ46,0),2)</f>
      </c>
      <c r="AI46" s="32" t="s">
        <v>47</v>
      </c>
      <c r="AJ46" s="50">
        <f>IF(AN46=0,J46,0)</f>
      </c>
      <c r="AK46" s="50">
        <f>IF(AN46=12,J46,0)</f>
      </c>
      <c r="AL46" s="50">
        <f>IF(AN46=21,J46,0)</f>
      </c>
      <c r="AN46" s="50" t="n">
        <v>21</v>
      </c>
      <c r="AO46" s="50">
        <f>G46*0</f>
      </c>
      <c r="AP46" s="50">
        <f>G46*(1-0)</f>
      </c>
      <c r="AQ46" s="53" t="s">
        <v>84</v>
      </c>
      <c r="AV46" s="50">
        <f>ROUND(AW46+AX46,2)</f>
      </c>
      <c r="AW46" s="50">
        <f>ROUND(F46*AO46,2)</f>
      </c>
      <c r="AX46" s="50">
        <f>ROUND(F46*AP46,2)</f>
      </c>
      <c r="AY46" s="53" t="s">
        <v>143</v>
      </c>
      <c r="AZ46" s="53" t="s">
        <v>144</v>
      </c>
      <c r="BA46" s="32" t="s">
        <v>57</v>
      </c>
      <c r="BC46" s="50">
        <f>AW46+AX46</f>
      </c>
      <c r="BD46" s="50">
        <f>G46/(100-BE46)*100</f>
      </c>
      <c r="BE46" s="50" t="n">
        <v>0</v>
      </c>
      <c r="BF46" s="50">
        <f>46</f>
      </c>
      <c r="BH46" s="50">
        <f>F46*AO46</f>
      </c>
      <c r="BI46" s="50">
        <f>F46*AP46</f>
      </c>
      <c r="BJ46" s="50">
        <f>F46*G46</f>
      </c>
      <c r="BK46" s="53" t="s">
        <v>58</v>
      </c>
      <c r="BL46" s="50" t="n">
        <v>721</v>
      </c>
      <c r="BW46" s="50" t="n">
        <v>21</v>
      </c>
      <c r="BX46" s="16" t="s">
        <v>142</v>
      </c>
    </row>
    <row r="47">
      <c r="A47" s="10" t="s">
        <v>145</v>
      </c>
      <c r="B47" s="11" t="s">
        <v>146</v>
      </c>
      <c r="C47" s="16" t="s">
        <v>147</v>
      </c>
      <c r="D47" s="11"/>
      <c r="E47" s="11" t="s">
        <v>53</v>
      </c>
      <c r="F47" s="50" t="n">
        <v>1</v>
      </c>
      <c r="G47" s="51" t="n">
        <v>0</v>
      </c>
      <c r="H47" s="50">
        <f>ROUND(F47*AO47,2)</f>
      </c>
      <c r="I47" s="50">
        <f>ROUND(F47*AP47,2)</f>
      </c>
      <c r="J47" s="50">
        <f>ROUND(F47*G47,2)</f>
      </c>
      <c r="K47" s="52" t="s">
        <v>54</v>
      </c>
      <c r="Z47" s="50">
        <f>ROUND(IF(AQ47="5",BJ47,0),2)</f>
      </c>
      <c r="AB47" s="50">
        <f>ROUND(IF(AQ47="1",BH47,0),2)</f>
      </c>
      <c r="AC47" s="50">
        <f>ROUND(IF(AQ47="1",BI47,0),2)</f>
      </c>
      <c r="AD47" s="50">
        <f>ROUND(IF(AQ47="7",BH47,0),2)</f>
      </c>
      <c r="AE47" s="50">
        <f>ROUND(IF(AQ47="7",BI47,0),2)</f>
      </c>
      <c r="AF47" s="50">
        <f>ROUND(IF(AQ47="2",BH47,0),2)</f>
      </c>
      <c r="AG47" s="50">
        <f>ROUND(IF(AQ47="2",BI47,0),2)</f>
      </c>
      <c r="AH47" s="50">
        <f>ROUND(IF(AQ47="0",BJ47,0),2)</f>
      </c>
      <c r="AI47" s="32" t="s">
        <v>47</v>
      </c>
      <c r="AJ47" s="50">
        <f>IF(AN47=0,J47,0)</f>
      </c>
      <c r="AK47" s="50">
        <f>IF(AN47=12,J47,0)</f>
      </c>
      <c r="AL47" s="50">
        <f>IF(AN47=21,J47,0)</f>
      </c>
      <c r="AN47" s="50" t="n">
        <v>21</v>
      </c>
      <c r="AO47" s="50">
        <f>G47*0.916299166</f>
      </c>
      <c r="AP47" s="50">
        <f>G47*(1-0.916299166)</f>
      </c>
      <c r="AQ47" s="53" t="s">
        <v>84</v>
      </c>
      <c r="AV47" s="50">
        <f>ROUND(AW47+AX47,2)</f>
      </c>
      <c r="AW47" s="50">
        <f>ROUND(F47*AO47,2)</f>
      </c>
      <c r="AX47" s="50">
        <f>ROUND(F47*AP47,2)</f>
      </c>
      <c r="AY47" s="53" t="s">
        <v>143</v>
      </c>
      <c r="AZ47" s="53" t="s">
        <v>144</v>
      </c>
      <c r="BA47" s="32" t="s">
        <v>57</v>
      </c>
      <c r="BC47" s="50">
        <f>AW47+AX47</f>
      </c>
      <c r="BD47" s="50">
        <f>G47/(100-BE47)*100</f>
      </c>
      <c r="BE47" s="50" t="n">
        <v>0</v>
      </c>
      <c r="BF47" s="50">
        <f>47</f>
      </c>
      <c r="BH47" s="50">
        <f>F47*AO47</f>
      </c>
      <c r="BI47" s="50">
        <f>F47*AP47</f>
      </c>
      <c r="BJ47" s="50">
        <f>F47*G47</f>
      </c>
      <c r="BK47" s="53" t="s">
        <v>58</v>
      </c>
      <c r="BL47" s="50" t="n">
        <v>721</v>
      </c>
      <c r="BW47" s="50" t="n">
        <v>21</v>
      </c>
      <c r="BX47" s="16" t="s">
        <v>147</v>
      </c>
    </row>
    <row r="48" customHeight="true" ht="13.5">
      <c r="A48" s="54"/>
      <c r="C48" s="55" t="s">
        <v>148</v>
      </c>
      <c r="D48" s="56"/>
      <c r="E48" s="56"/>
      <c r="F48" s="56"/>
      <c r="G48" s="57"/>
      <c r="H48" s="56"/>
      <c r="I48" s="56"/>
      <c r="J48" s="56"/>
      <c r="K48" s="58"/>
    </row>
    <row r="49">
      <c r="A49" s="59" t="s">
        <v>47</v>
      </c>
      <c r="B49" s="60" t="s">
        <v>149</v>
      </c>
      <c r="C49" s="61" t="s">
        <v>150</v>
      </c>
      <c r="D49" s="60"/>
      <c r="E49" s="62" t="s">
        <v>4</v>
      </c>
      <c r="F49" s="62" t="s">
        <v>4</v>
      </c>
      <c r="G49" s="63" t="s">
        <v>4</v>
      </c>
      <c r="H49" s="2">
        <f>SUM(H50:H50)</f>
      </c>
      <c r="I49" s="2">
        <f>SUM(I50:I50)</f>
      </c>
      <c r="J49" s="2">
        <f>SUM(J50:J50)</f>
      </c>
      <c r="K49" s="64" t="s">
        <v>47</v>
      </c>
      <c r="AI49" s="32" t="s">
        <v>47</v>
      </c>
      <c r="AS49" s="2">
        <f>SUM(AJ50:AJ50)</f>
      </c>
      <c r="AT49" s="2">
        <f>SUM(AK50:AK50)</f>
      </c>
      <c r="AU49" s="2">
        <f>SUM(AL50:AL50)</f>
      </c>
    </row>
    <row r="50" ht="24.75">
      <c r="A50" s="10" t="s">
        <v>151</v>
      </c>
      <c r="B50" s="11" t="s">
        <v>152</v>
      </c>
      <c r="C50" s="16" t="s">
        <v>153</v>
      </c>
      <c r="D50" s="11"/>
      <c r="E50" s="11" t="s">
        <v>154</v>
      </c>
      <c r="F50" s="50" t="n">
        <v>1</v>
      </c>
      <c r="G50" s="51" t="n">
        <v>0</v>
      </c>
      <c r="H50" s="50">
        <f>ROUND(F50*AO50,2)</f>
      </c>
      <c r="I50" s="50">
        <f>ROUND(F50*AP50,2)</f>
      </c>
      <c r="J50" s="50">
        <f>ROUND(F50*G50,2)</f>
      </c>
      <c r="K50" s="52" t="s">
        <v>54</v>
      </c>
      <c r="Z50" s="50">
        <f>ROUND(IF(AQ50="5",BJ50,0),2)</f>
      </c>
      <c r="AB50" s="50">
        <f>ROUND(IF(AQ50="1",BH50,0),2)</f>
      </c>
      <c r="AC50" s="50">
        <f>ROUND(IF(AQ50="1",BI50,0),2)</f>
      </c>
      <c r="AD50" s="50">
        <f>ROUND(IF(AQ50="7",BH50,0),2)</f>
      </c>
      <c r="AE50" s="50">
        <f>ROUND(IF(AQ50="7",BI50,0),2)</f>
      </c>
      <c r="AF50" s="50">
        <f>ROUND(IF(AQ50="2",BH50,0),2)</f>
      </c>
      <c r="AG50" s="50">
        <f>ROUND(IF(AQ50="2",BI50,0),2)</f>
      </c>
      <c r="AH50" s="50">
        <f>ROUND(IF(AQ50="0",BJ50,0),2)</f>
      </c>
      <c r="AI50" s="32" t="s">
        <v>47</v>
      </c>
      <c r="AJ50" s="50">
        <f>IF(AN50=0,J50,0)</f>
      </c>
      <c r="AK50" s="50">
        <f>IF(AN50=12,J50,0)</f>
      </c>
      <c r="AL50" s="50">
        <f>IF(AN50=21,J50,0)</f>
      </c>
      <c r="AN50" s="50" t="n">
        <v>21</v>
      </c>
      <c r="AO50" s="50">
        <f>G50*0.937047583</f>
      </c>
      <c r="AP50" s="50">
        <f>G50*(1-0.937047583)</f>
      </c>
      <c r="AQ50" s="53" t="s">
        <v>84</v>
      </c>
      <c r="AV50" s="50">
        <f>ROUND(AW50+AX50,2)</f>
      </c>
      <c r="AW50" s="50">
        <f>ROUND(F50*AO50,2)</f>
      </c>
      <c r="AX50" s="50">
        <f>ROUND(F50*AP50,2)</f>
      </c>
      <c r="AY50" s="53" t="s">
        <v>155</v>
      </c>
      <c r="AZ50" s="53" t="s">
        <v>144</v>
      </c>
      <c r="BA50" s="32" t="s">
        <v>57</v>
      </c>
      <c r="BC50" s="50">
        <f>AW50+AX50</f>
      </c>
      <c r="BD50" s="50">
        <f>G50/(100-BE50)*100</f>
      </c>
      <c r="BE50" s="50" t="n">
        <v>0</v>
      </c>
      <c r="BF50" s="50">
        <f>50</f>
      </c>
      <c r="BH50" s="50">
        <f>F50*AO50</f>
      </c>
      <c r="BI50" s="50">
        <f>F50*AP50</f>
      </c>
      <c r="BJ50" s="50">
        <f>F50*G50</f>
      </c>
      <c r="BK50" s="53" t="s">
        <v>58</v>
      </c>
      <c r="BL50" s="50" t="n">
        <v>722</v>
      </c>
      <c r="BW50" s="50" t="n">
        <v>21</v>
      </c>
      <c r="BX50" s="16" t="s">
        <v>153</v>
      </c>
    </row>
    <row r="51" customHeight="true" ht="13.5">
      <c r="A51" s="54"/>
      <c r="C51" s="55" t="s">
        <v>156</v>
      </c>
      <c r="D51" s="56"/>
      <c r="E51" s="56"/>
      <c r="F51" s="56"/>
      <c r="G51" s="57"/>
      <c r="H51" s="56"/>
      <c r="I51" s="56"/>
      <c r="J51" s="56"/>
      <c r="K51" s="58"/>
    </row>
    <row r="52">
      <c r="A52" s="59" t="s">
        <v>47</v>
      </c>
      <c r="B52" s="60" t="s">
        <v>157</v>
      </c>
      <c r="C52" s="61" t="s">
        <v>158</v>
      </c>
      <c r="D52" s="60"/>
      <c r="E52" s="62" t="s">
        <v>4</v>
      </c>
      <c r="F52" s="62" t="s">
        <v>4</v>
      </c>
      <c r="G52" s="63" t="s">
        <v>4</v>
      </c>
      <c r="H52" s="2">
        <f>SUM(H53:H66)</f>
      </c>
      <c r="I52" s="2">
        <f>SUM(I53:I66)</f>
      </c>
      <c r="J52" s="2">
        <f>SUM(J53:J66)</f>
      </c>
      <c r="K52" s="64" t="s">
        <v>47</v>
      </c>
      <c r="AI52" s="32" t="s">
        <v>47</v>
      </c>
      <c r="AS52" s="2">
        <f>SUM(AJ53:AJ66)</f>
      </c>
      <c r="AT52" s="2">
        <f>SUM(AK53:AK66)</f>
      </c>
      <c r="AU52" s="2">
        <f>SUM(AL53:AL66)</f>
      </c>
    </row>
    <row r="53">
      <c r="A53" s="10" t="s">
        <v>159</v>
      </c>
      <c r="B53" s="11" t="s">
        <v>160</v>
      </c>
      <c r="C53" s="16" t="s">
        <v>161</v>
      </c>
      <c r="D53" s="11"/>
      <c r="E53" s="11" t="s">
        <v>53</v>
      </c>
      <c r="F53" s="50" t="n">
        <v>2</v>
      </c>
      <c r="G53" s="51" t="n">
        <v>0</v>
      </c>
      <c r="H53" s="50">
        <f>ROUND(F53*AO53,2)</f>
      </c>
      <c r="I53" s="50">
        <f>ROUND(F53*AP53,2)</f>
      </c>
      <c r="J53" s="50">
        <f>ROUND(F53*G53,2)</f>
      </c>
      <c r="K53" s="52" t="s">
        <v>54</v>
      </c>
      <c r="Z53" s="50">
        <f>ROUND(IF(AQ53="5",BJ53,0),2)</f>
      </c>
      <c r="AB53" s="50">
        <f>ROUND(IF(AQ53="1",BH53,0),2)</f>
      </c>
      <c r="AC53" s="50">
        <f>ROUND(IF(AQ53="1",BI53,0),2)</f>
      </c>
      <c r="AD53" s="50">
        <f>ROUND(IF(AQ53="7",BH53,0),2)</f>
      </c>
      <c r="AE53" s="50">
        <f>ROUND(IF(AQ53="7",BI53,0),2)</f>
      </c>
      <c r="AF53" s="50">
        <f>ROUND(IF(AQ53="2",BH53,0),2)</f>
      </c>
      <c r="AG53" s="50">
        <f>ROUND(IF(AQ53="2",BI53,0),2)</f>
      </c>
      <c r="AH53" s="50">
        <f>ROUND(IF(AQ53="0",BJ53,0),2)</f>
      </c>
      <c r="AI53" s="32" t="s">
        <v>47</v>
      </c>
      <c r="AJ53" s="50">
        <f>IF(AN53=0,J53,0)</f>
      </c>
      <c r="AK53" s="50">
        <f>IF(AN53=12,J53,0)</f>
      </c>
      <c r="AL53" s="50">
        <f>IF(AN53=21,J53,0)</f>
      </c>
      <c r="AN53" s="50" t="n">
        <v>21</v>
      </c>
      <c r="AO53" s="50">
        <f>G53*0</f>
      </c>
      <c r="AP53" s="50">
        <f>G53*(1-0)</f>
      </c>
      <c r="AQ53" s="53" t="s">
        <v>84</v>
      </c>
      <c r="AV53" s="50">
        <f>ROUND(AW53+AX53,2)</f>
      </c>
      <c r="AW53" s="50">
        <f>ROUND(F53*AO53,2)</f>
      </c>
      <c r="AX53" s="50">
        <f>ROUND(F53*AP53,2)</f>
      </c>
      <c r="AY53" s="53" t="s">
        <v>162</v>
      </c>
      <c r="AZ53" s="53" t="s">
        <v>144</v>
      </c>
      <c r="BA53" s="32" t="s">
        <v>57</v>
      </c>
      <c r="BC53" s="50">
        <f>AW53+AX53</f>
      </c>
      <c r="BD53" s="50">
        <f>G53/(100-BE53)*100</f>
      </c>
      <c r="BE53" s="50" t="n">
        <v>0</v>
      </c>
      <c r="BF53" s="50">
        <f>53</f>
      </c>
      <c r="BH53" s="50">
        <f>F53*AO53</f>
      </c>
      <c r="BI53" s="50">
        <f>F53*AP53</f>
      </c>
      <c r="BJ53" s="50">
        <f>F53*G53</f>
      </c>
      <c r="BK53" s="53" t="s">
        <v>58</v>
      </c>
      <c r="BL53" s="50" t="n">
        <v>725</v>
      </c>
      <c r="BW53" s="50" t="n">
        <v>21</v>
      </c>
      <c r="BX53" s="16" t="s">
        <v>161</v>
      </c>
    </row>
    <row r="54">
      <c r="A54" s="10" t="s">
        <v>163</v>
      </c>
      <c r="B54" s="11" t="s">
        <v>164</v>
      </c>
      <c r="C54" s="16" t="s">
        <v>165</v>
      </c>
      <c r="D54" s="11"/>
      <c r="E54" s="11" t="s">
        <v>53</v>
      </c>
      <c r="F54" s="50" t="n">
        <v>4</v>
      </c>
      <c r="G54" s="51" t="n">
        <v>0</v>
      </c>
      <c r="H54" s="50">
        <f>ROUND(F54*AO54,2)</f>
      </c>
      <c r="I54" s="50">
        <f>ROUND(F54*AP54,2)</f>
      </c>
      <c r="J54" s="50">
        <f>ROUND(F54*G54,2)</f>
      </c>
      <c r="K54" s="52" t="s">
        <v>54</v>
      </c>
      <c r="Z54" s="50">
        <f>ROUND(IF(AQ54="5",BJ54,0),2)</f>
      </c>
      <c r="AB54" s="50">
        <f>ROUND(IF(AQ54="1",BH54,0),2)</f>
      </c>
      <c r="AC54" s="50">
        <f>ROUND(IF(AQ54="1",BI54,0),2)</f>
      </c>
      <c r="AD54" s="50">
        <f>ROUND(IF(AQ54="7",BH54,0),2)</f>
      </c>
      <c r="AE54" s="50">
        <f>ROUND(IF(AQ54="7",BI54,0),2)</f>
      </c>
      <c r="AF54" s="50">
        <f>ROUND(IF(AQ54="2",BH54,0),2)</f>
      </c>
      <c r="AG54" s="50">
        <f>ROUND(IF(AQ54="2",BI54,0),2)</f>
      </c>
      <c r="AH54" s="50">
        <f>ROUND(IF(AQ54="0",BJ54,0),2)</f>
      </c>
      <c r="AI54" s="32" t="s">
        <v>47</v>
      </c>
      <c r="AJ54" s="50">
        <f>IF(AN54=0,J54,0)</f>
      </c>
      <c r="AK54" s="50">
        <f>IF(AN54=12,J54,0)</f>
      </c>
      <c r="AL54" s="50">
        <f>IF(AN54=21,J54,0)</f>
      </c>
      <c r="AN54" s="50" t="n">
        <v>21</v>
      </c>
      <c r="AO54" s="50">
        <f>G54*0</f>
      </c>
      <c r="AP54" s="50">
        <f>G54*(1-0)</f>
      </c>
      <c r="AQ54" s="53" t="s">
        <v>84</v>
      </c>
      <c r="AV54" s="50">
        <f>ROUND(AW54+AX54,2)</f>
      </c>
      <c r="AW54" s="50">
        <f>ROUND(F54*AO54,2)</f>
      </c>
      <c r="AX54" s="50">
        <f>ROUND(F54*AP54,2)</f>
      </c>
      <c r="AY54" s="53" t="s">
        <v>162</v>
      </c>
      <c r="AZ54" s="53" t="s">
        <v>144</v>
      </c>
      <c r="BA54" s="32" t="s">
        <v>57</v>
      </c>
      <c r="BC54" s="50">
        <f>AW54+AX54</f>
      </c>
      <c r="BD54" s="50">
        <f>G54/(100-BE54)*100</f>
      </c>
      <c r="BE54" s="50" t="n">
        <v>0</v>
      </c>
      <c r="BF54" s="50">
        <f>54</f>
      </c>
      <c r="BH54" s="50">
        <f>F54*AO54</f>
      </c>
      <c r="BI54" s="50">
        <f>F54*AP54</f>
      </c>
      <c r="BJ54" s="50">
        <f>F54*G54</f>
      </c>
      <c r="BK54" s="53" t="s">
        <v>58</v>
      </c>
      <c r="BL54" s="50" t="n">
        <v>725</v>
      </c>
      <c r="BW54" s="50" t="n">
        <v>21</v>
      </c>
      <c r="BX54" s="16" t="s">
        <v>165</v>
      </c>
    </row>
    <row r="55">
      <c r="A55" s="10" t="s">
        <v>166</v>
      </c>
      <c r="B55" s="11" t="s">
        <v>167</v>
      </c>
      <c r="C55" s="16" t="s">
        <v>168</v>
      </c>
      <c r="D55" s="11"/>
      <c r="E55" s="11" t="s">
        <v>53</v>
      </c>
      <c r="F55" s="50" t="n">
        <v>4</v>
      </c>
      <c r="G55" s="51" t="n">
        <v>0</v>
      </c>
      <c r="H55" s="50">
        <f>ROUND(F55*AO55,2)</f>
      </c>
      <c r="I55" s="50">
        <f>ROUND(F55*AP55,2)</f>
      </c>
      <c r="J55" s="50">
        <f>ROUND(F55*G55,2)</f>
      </c>
      <c r="K55" s="52" t="s">
        <v>54</v>
      </c>
      <c r="Z55" s="50">
        <f>ROUND(IF(AQ55="5",BJ55,0),2)</f>
      </c>
      <c r="AB55" s="50">
        <f>ROUND(IF(AQ55="1",BH55,0),2)</f>
      </c>
      <c r="AC55" s="50">
        <f>ROUND(IF(AQ55="1",BI55,0),2)</f>
      </c>
      <c r="AD55" s="50">
        <f>ROUND(IF(AQ55="7",BH55,0),2)</f>
      </c>
      <c r="AE55" s="50">
        <f>ROUND(IF(AQ55="7",BI55,0),2)</f>
      </c>
      <c r="AF55" s="50">
        <f>ROUND(IF(AQ55="2",BH55,0),2)</f>
      </c>
      <c r="AG55" s="50">
        <f>ROUND(IF(AQ55="2",BI55,0),2)</f>
      </c>
      <c r="AH55" s="50">
        <f>ROUND(IF(AQ55="0",BJ55,0),2)</f>
      </c>
      <c r="AI55" s="32" t="s">
        <v>47</v>
      </c>
      <c r="AJ55" s="50">
        <f>IF(AN55=0,J55,0)</f>
      </c>
      <c r="AK55" s="50">
        <f>IF(AN55=12,J55,0)</f>
      </c>
      <c r="AL55" s="50">
        <f>IF(AN55=21,J55,0)</f>
      </c>
      <c r="AN55" s="50" t="n">
        <v>21</v>
      </c>
      <c r="AO55" s="50">
        <f>G55*0</f>
      </c>
      <c r="AP55" s="50">
        <f>G55*(1-0)</f>
      </c>
      <c r="AQ55" s="53" t="s">
        <v>84</v>
      </c>
      <c r="AV55" s="50">
        <f>ROUND(AW55+AX55,2)</f>
      </c>
      <c r="AW55" s="50">
        <f>ROUND(F55*AO55,2)</f>
      </c>
      <c r="AX55" s="50">
        <f>ROUND(F55*AP55,2)</f>
      </c>
      <c r="AY55" s="53" t="s">
        <v>162</v>
      </c>
      <c r="AZ55" s="53" t="s">
        <v>144</v>
      </c>
      <c r="BA55" s="32" t="s">
        <v>57</v>
      </c>
      <c r="BC55" s="50">
        <f>AW55+AX55</f>
      </c>
      <c r="BD55" s="50">
        <f>G55/(100-BE55)*100</f>
      </c>
      <c r="BE55" s="50" t="n">
        <v>0</v>
      </c>
      <c r="BF55" s="50">
        <f>55</f>
      </c>
      <c r="BH55" s="50">
        <f>F55*AO55</f>
      </c>
      <c r="BI55" s="50">
        <f>F55*AP55</f>
      </c>
      <c r="BJ55" s="50">
        <f>F55*G55</f>
      </c>
      <c r="BK55" s="53" t="s">
        <v>58</v>
      </c>
      <c r="BL55" s="50" t="n">
        <v>725</v>
      </c>
      <c r="BW55" s="50" t="n">
        <v>21</v>
      </c>
      <c r="BX55" s="16" t="s">
        <v>168</v>
      </c>
    </row>
    <row r="56">
      <c r="A56" s="10" t="s">
        <v>169</v>
      </c>
      <c r="B56" s="11" t="s">
        <v>170</v>
      </c>
      <c r="C56" s="16" t="s">
        <v>171</v>
      </c>
      <c r="D56" s="11"/>
      <c r="E56" s="11" t="s">
        <v>53</v>
      </c>
      <c r="F56" s="50" t="n">
        <v>4</v>
      </c>
      <c r="G56" s="51" t="n">
        <v>0</v>
      </c>
      <c r="H56" s="50">
        <f>ROUND(F56*AO56,2)</f>
      </c>
      <c r="I56" s="50">
        <f>ROUND(F56*AP56,2)</f>
      </c>
      <c r="J56" s="50">
        <f>ROUND(F56*G56,2)</f>
      </c>
      <c r="K56" s="52" t="s">
        <v>54</v>
      </c>
      <c r="Z56" s="50">
        <f>ROUND(IF(AQ56="5",BJ56,0),2)</f>
      </c>
      <c r="AB56" s="50">
        <f>ROUND(IF(AQ56="1",BH56,0),2)</f>
      </c>
      <c r="AC56" s="50">
        <f>ROUND(IF(AQ56="1",BI56,0),2)</f>
      </c>
      <c r="AD56" s="50">
        <f>ROUND(IF(AQ56="7",BH56,0),2)</f>
      </c>
      <c r="AE56" s="50">
        <f>ROUND(IF(AQ56="7",BI56,0),2)</f>
      </c>
      <c r="AF56" s="50">
        <f>ROUND(IF(AQ56="2",BH56,0),2)</f>
      </c>
      <c r="AG56" s="50">
        <f>ROUND(IF(AQ56="2",BI56,0),2)</f>
      </c>
      <c r="AH56" s="50">
        <f>ROUND(IF(AQ56="0",BJ56,0),2)</f>
      </c>
      <c r="AI56" s="32" t="s">
        <v>47</v>
      </c>
      <c r="AJ56" s="50">
        <f>IF(AN56=0,J56,0)</f>
      </c>
      <c r="AK56" s="50">
        <f>IF(AN56=12,J56,0)</f>
      </c>
      <c r="AL56" s="50">
        <f>IF(AN56=21,J56,0)</f>
      </c>
      <c r="AN56" s="50" t="n">
        <v>21</v>
      </c>
      <c r="AO56" s="50">
        <f>G56*1</f>
      </c>
      <c r="AP56" s="50">
        <f>G56*(1-1)</f>
      </c>
      <c r="AQ56" s="53" t="s">
        <v>84</v>
      </c>
      <c r="AV56" s="50">
        <f>ROUND(AW56+AX56,2)</f>
      </c>
      <c r="AW56" s="50">
        <f>ROUND(F56*AO56,2)</f>
      </c>
      <c r="AX56" s="50">
        <f>ROUND(F56*AP56,2)</f>
      </c>
      <c r="AY56" s="53" t="s">
        <v>162</v>
      </c>
      <c r="AZ56" s="53" t="s">
        <v>144</v>
      </c>
      <c r="BA56" s="32" t="s">
        <v>57</v>
      </c>
      <c r="BC56" s="50">
        <f>AW56+AX56</f>
      </c>
      <c r="BD56" s="50">
        <f>G56/(100-BE56)*100</f>
      </c>
      <c r="BE56" s="50" t="n">
        <v>0</v>
      </c>
      <c r="BF56" s="50">
        <f>56</f>
      </c>
      <c r="BH56" s="50">
        <f>F56*AO56</f>
      </c>
      <c r="BI56" s="50">
        <f>F56*AP56</f>
      </c>
      <c r="BJ56" s="50">
        <f>F56*G56</f>
      </c>
      <c r="BK56" s="53" t="s">
        <v>73</v>
      </c>
      <c r="BL56" s="50" t="n">
        <v>725</v>
      </c>
      <c r="BW56" s="50" t="n">
        <v>21</v>
      </c>
      <c r="BX56" s="16" t="s">
        <v>171</v>
      </c>
    </row>
    <row r="57">
      <c r="A57" s="10" t="s">
        <v>172</v>
      </c>
      <c r="B57" s="11" t="s">
        <v>173</v>
      </c>
      <c r="C57" s="16" t="s">
        <v>174</v>
      </c>
      <c r="D57" s="11"/>
      <c r="E57" s="11" t="s">
        <v>53</v>
      </c>
      <c r="F57" s="50" t="n">
        <v>2</v>
      </c>
      <c r="G57" s="51" t="n">
        <v>0</v>
      </c>
      <c r="H57" s="50">
        <f>ROUND(F57*AO57,2)</f>
      </c>
      <c r="I57" s="50">
        <f>ROUND(F57*AP57,2)</f>
      </c>
      <c r="J57" s="50">
        <f>ROUND(F57*G57,2)</f>
      </c>
      <c r="K57" s="52" t="s">
        <v>54</v>
      </c>
      <c r="Z57" s="50">
        <f>ROUND(IF(AQ57="5",BJ57,0),2)</f>
      </c>
      <c r="AB57" s="50">
        <f>ROUND(IF(AQ57="1",BH57,0),2)</f>
      </c>
      <c r="AC57" s="50">
        <f>ROUND(IF(AQ57="1",BI57,0),2)</f>
      </c>
      <c r="AD57" s="50">
        <f>ROUND(IF(AQ57="7",BH57,0),2)</f>
      </c>
      <c r="AE57" s="50">
        <f>ROUND(IF(AQ57="7",BI57,0),2)</f>
      </c>
      <c r="AF57" s="50">
        <f>ROUND(IF(AQ57="2",BH57,0),2)</f>
      </c>
      <c r="AG57" s="50">
        <f>ROUND(IF(AQ57="2",BI57,0),2)</f>
      </c>
      <c r="AH57" s="50">
        <f>ROUND(IF(AQ57="0",BJ57,0),2)</f>
      </c>
      <c r="AI57" s="32" t="s">
        <v>47</v>
      </c>
      <c r="AJ57" s="50">
        <f>IF(AN57=0,J57,0)</f>
      </c>
      <c r="AK57" s="50">
        <f>IF(AN57=12,J57,0)</f>
      </c>
      <c r="AL57" s="50">
        <f>IF(AN57=21,J57,0)</f>
      </c>
      <c r="AN57" s="50" t="n">
        <v>21</v>
      </c>
      <c r="AO57" s="50">
        <f>G57*1</f>
      </c>
      <c r="AP57" s="50">
        <f>G57*(1-1)</f>
      </c>
      <c r="AQ57" s="53" t="s">
        <v>84</v>
      </c>
      <c r="AV57" s="50">
        <f>ROUND(AW57+AX57,2)</f>
      </c>
      <c r="AW57" s="50">
        <f>ROUND(F57*AO57,2)</f>
      </c>
      <c r="AX57" s="50">
        <f>ROUND(F57*AP57,2)</f>
      </c>
      <c r="AY57" s="53" t="s">
        <v>162</v>
      </c>
      <c r="AZ57" s="53" t="s">
        <v>144</v>
      </c>
      <c r="BA57" s="32" t="s">
        <v>57</v>
      </c>
      <c r="BC57" s="50">
        <f>AW57+AX57</f>
      </c>
      <c r="BD57" s="50">
        <f>G57/(100-BE57)*100</f>
      </c>
      <c r="BE57" s="50" t="n">
        <v>0</v>
      </c>
      <c r="BF57" s="50">
        <f>57</f>
      </c>
      <c r="BH57" s="50">
        <f>F57*AO57</f>
      </c>
      <c r="BI57" s="50">
        <f>F57*AP57</f>
      </c>
      <c r="BJ57" s="50">
        <f>F57*G57</f>
      </c>
      <c r="BK57" s="53" t="s">
        <v>73</v>
      </c>
      <c r="BL57" s="50" t="n">
        <v>725</v>
      </c>
      <c r="BW57" s="50" t="n">
        <v>21</v>
      </c>
      <c r="BX57" s="16" t="s">
        <v>174</v>
      </c>
    </row>
    <row r="58">
      <c r="A58" s="10" t="s">
        <v>175</v>
      </c>
      <c r="B58" s="11" t="s">
        <v>176</v>
      </c>
      <c r="C58" s="16" t="s">
        <v>177</v>
      </c>
      <c r="D58" s="11"/>
      <c r="E58" s="11" t="s">
        <v>53</v>
      </c>
      <c r="F58" s="50" t="n">
        <v>4</v>
      </c>
      <c r="G58" s="51" t="n">
        <v>0</v>
      </c>
      <c r="H58" s="50">
        <f>ROUND(F58*AO58,2)</f>
      </c>
      <c r="I58" s="50">
        <f>ROUND(F58*AP58,2)</f>
      </c>
      <c r="J58" s="50">
        <f>ROUND(F58*G58,2)</f>
      </c>
      <c r="K58" s="52" t="s">
        <v>54</v>
      </c>
      <c r="Z58" s="50">
        <f>ROUND(IF(AQ58="5",BJ58,0),2)</f>
      </c>
      <c r="AB58" s="50">
        <f>ROUND(IF(AQ58="1",BH58,0),2)</f>
      </c>
      <c r="AC58" s="50">
        <f>ROUND(IF(AQ58="1",BI58,0),2)</f>
      </c>
      <c r="AD58" s="50">
        <f>ROUND(IF(AQ58="7",BH58,0),2)</f>
      </c>
      <c r="AE58" s="50">
        <f>ROUND(IF(AQ58="7",BI58,0),2)</f>
      </c>
      <c r="AF58" s="50">
        <f>ROUND(IF(AQ58="2",BH58,0),2)</f>
      </c>
      <c r="AG58" s="50">
        <f>ROUND(IF(AQ58="2",BI58,0),2)</f>
      </c>
      <c r="AH58" s="50">
        <f>ROUND(IF(AQ58="0",BJ58,0),2)</f>
      </c>
      <c r="AI58" s="32" t="s">
        <v>47</v>
      </c>
      <c r="AJ58" s="50">
        <f>IF(AN58=0,J58,0)</f>
      </c>
      <c r="AK58" s="50">
        <f>IF(AN58=12,J58,0)</f>
      </c>
      <c r="AL58" s="50">
        <f>IF(AN58=21,J58,0)</f>
      </c>
      <c r="AN58" s="50" t="n">
        <v>21</v>
      </c>
      <c r="AO58" s="50">
        <f>G58*1</f>
      </c>
      <c r="AP58" s="50">
        <f>G58*(1-1)</f>
      </c>
      <c r="AQ58" s="53" t="s">
        <v>84</v>
      </c>
      <c r="AV58" s="50">
        <f>ROUND(AW58+AX58,2)</f>
      </c>
      <c r="AW58" s="50">
        <f>ROUND(F58*AO58,2)</f>
      </c>
      <c r="AX58" s="50">
        <f>ROUND(F58*AP58,2)</f>
      </c>
      <c r="AY58" s="53" t="s">
        <v>162</v>
      </c>
      <c r="AZ58" s="53" t="s">
        <v>144</v>
      </c>
      <c r="BA58" s="32" t="s">
        <v>57</v>
      </c>
      <c r="BC58" s="50">
        <f>AW58+AX58</f>
      </c>
      <c r="BD58" s="50">
        <f>G58/(100-BE58)*100</f>
      </c>
      <c r="BE58" s="50" t="n">
        <v>0</v>
      </c>
      <c r="BF58" s="50">
        <f>58</f>
      </c>
      <c r="BH58" s="50">
        <f>F58*AO58</f>
      </c>
      <c r="BI58" s="50">
        <f>F58*AP58</f>
      </c>
      <c r="BJ58" s="50">
        <f>F58*G58</f>
      </c>
      <c r="BK58" s="53" t="s">
        <v>73</v>
      </c>
      <c r="BL58" s="50" t="n">
        <v>725</v>
      </c>
      <c r="BW58" s="50" t="n">
        <v>21</v>
      </c>
      <c r="BX58" s="16" t="s">
        <v>177</v>
      </c>
    </row>
    <row r="59">
      <c r="A59" s="10" t="s">
        <v>178</v>
      </c>
      <c r="B59" s="11" t="s">
        <v>179</v>
      </c>
      <c r="C59" s="16" t="s">
        <v>180</v>
      </c>
      <c r="D59" s="11"/>
      <c r="E59" s="11" t="s">
        <v>53</v>
      </c>
      <c r="F59" s="50" t="n">
        <v>4</v>
      </c>
      <c r="G59" s="51" t="n">
        <v>0</v>
      </c>
      <c r="H59" s="50">
        <f>ROUND(F59*AO59,2)</f>
      </c>
      <c r="I59" s="50">
        <f>ROUND(F59*AP59,2)</f>
      </c>
      <c r="J59" s="50">
        <f>ROUND(F59*G59,2)</f>
      </c>
      <c r="K59" s="52" t="s">
        <v>54</v>
      </c>
      <c r="Z59" s="50">
        <f>ROUND(IF(AQ59="5",BJ59,0),2)</f>
      </c>
      <c r="AB59" s="50">
        <f>ROUND(IF(AQ59="1",BH59,0),2)</f>
      </c>
      <c r="AC59" s="50">
        <f>ROUND(IF(AQ59="1",BI59,0),2)</f>
      </c>
      <c r="AD59" s="50">
        <f>ROUND(IF(AQ59="7",BH59,0),2)</f>
      </c>
      <c r="AE59" s="50">
        <f>ROUND(IF(AQ59="7",BI59,0),2)</f>
      </c>
      <c r="AF59" s="50">
        <f>ROUND(IF(AQ59="2",BH59,0),2)</f>
      </c>
      <c r="AG59" s="50">
        <f>ROUND(IF(AQ59="2",BI59,0),2)</f>
      </c>
      <c r="AH59" s="50">
        <f>ROUND(IF(AQ59="0",BJ59,0),2)</f>
      </c>
      <c r="AI59" s="32" t="s">
        <v>47</v>
      </c>
      <c r="AJ59" s="50">
        <f>IF(AN59=0,J59,0)</f>
      </c>
      <c r="AK59" s="50">
        <f>IF(AN59=12,J59,0)</f>
      </c>
      <c r="AL59" s="50">
        <f>IF(AN59=21,J59,0)</f>
      </c>
      <c r="AN59" s="50" t="n">
        <v>21</v>
      </c>
      <c r="AO59" s="50">
        <f>G59*1</f>
      </c>
      <c r="AP59" s="50">
        <f>G59*(1-1)</f>
      </c>
      <c r="AQ59" s="53" t="s">
        <v>84</v>
      </c>
      <c r="AV59" s="50">
        <f>ROUND(AW59+AX59,2)</f>
      </c>
      <c r="AW59" s="50">
        <f>ROUND(F59*AO59,2)</f>
      </c>
      <c r="AX59" s="50">
        <f>ROUND(F59*AP59,2)</f>
      </c>
      <c r="AY59" s="53" t="s">
        <v>162</v>
      </c>
      <c r="AZ59" s="53" t="s">
        <v>144</v>
      </c>
      <c r="BA59" s="32" t="s">
        <v>57</v>
      </c>
      <c r="BC59" s="50">
        <f>AW59+AX59</f>
      </c>
      <c r="BD59" s="50">
        <f>G59/(100-BE59)*100</f>
      </c>
      <c r="BE59" s="50" t="n">
        <v>0</v>
      </c>
      <c r="BF59" s="50">
        <f>59</f>
      </c>
      <c r="BH59" s="50">
        <f>F59*AO59</f>
      </c>
      <c r="BI59" s="50">
        <f>F59*AP59</f>
      </c>
      <c r="BJ59" s="50">
        <f>F59*G59</f>
      </c>
      <c r="BK59" s="53" t="s">
        <v>73</v>
      </c>
      <c r="BL59" s="50" t="n">
        <v>725</v>
      </c>
      <c r="BW59" s="50" t="n">
        <v>21</v>
      </c>
      <c r="BX59" s="16" t="s">
        <v>180</v>
      </c>
    </row>
    <row r="60">
      <c r="A60" s="10" t="s">
        <v>48</v>
      </c>
      <c r="B60" s="11" t="s">
        <v>181</v>
      </c>
      <c r="C60" s="16" t="s">
        <v>182</v>
      </c>
      <c r="D60" s="11"/>
      <c r="E60" s="11" t="s">
        <v>53</v>
      </c>
      <c r="F60" s="50" t="n">
        <v>4</v>
      </c>
      <c r="G60" s="51" t="n">
        <v>0</v>
      </c>
      <c r="H60" s="50">
        <f>ROUND(F60*AO60,2)</f>
      </c>
      <c r="I60" s="50">
        <f>ROUND(F60*AP60,2)</f>
      </c>
      <c r="J60" s="50">
        <f>ROUND(F60*G60,2)</f>
      </c>
      <c r="K60" s="52" t="s">
        <v>54</v>
      </c>
      <c r="Z60" s="50">
        <f>ROUND(IF(AQ60="5",BJ60,0),2)</f>
      </c>
      <c r="AB60" s="50">
        <f>ROUND(IF(AQ60="1",BH60,0),2)</f>
      </c>
      <c r="AC60" s="50">
        <f>ROUND(IF(AQ60="1",BI60,0),2)</f>
      </c>
      <c r="AD60" s="50">
        <f>ROUND(IF(AQ60="7",BH60,0),2)</f>
      </c>
      <c r="AE60" s="50">
        <f>ROUND(IF(AQ60="7",BI60,0),2)</f>
      </c>
      <c r="AF60" s="50">
        <f>ROUND(IF(AQ60="2",BH60,0),2)</f>
      </c>
      <c r="AG60" s="50">
        <f>ROUND(IF(AQ60="2",BI60,0),2)</f>
      </c>
      <c r="AH60" s="50">
        <f>ROUND(IF(AQ60="0",BJ60,0),2)</f>
      </c>
      <c r="AI60" s="32" t="s">
        <v>47</v>
      </c>
      <c r="AJ60" s="50">
        <f>IF(AN60=0,J60,0)</f>
      </c>
      <c r="AK60" s="50">
        <f>IF(AN60=12,J60,0)</f>
      </c>
      <c r="AL60" s="50">
        <f>IF(AN60=21,J60,0)</f>
      </c>
      <c r="AN60" s="50" t="n">
        <v>21</v>
      </c>
      <c r="AO60" s="50">
        <f>G60*1</f>
      </c>
      <c r="AP60" s="50">
        <f>G60*(1-1)</f>
      </c>
      <c r="AQ60" s="53" t="s">
        <v>84</v>
      </c>
      <c r="AV60" s="50">
        <f>ROUND(AW60+AX60,2)</f>
      </c>
      <c r="AW60" s="50">
        <f>ROUND(F60*AO60,2)</f>
      </c>
      <c r="AX60" s="50">
        <f>ROUND(F60*AP60,2)</f>
      </c>
      <c r="AY60" s="53" t="s">
        <v>162</v>
      </c>
      <c r="AZ60" s="53" t="s">
        <v>144</v>
      </c>
      <c r="BA60" s="32" t="s">
        <v>57</v>
      </c>
      <c r="BC60" s="50">
        <f>AW60+AX60</f>
      </c>
      <c r="BD60" s="50">
        <f>G60/(100-BE60)*100</f>
      </c>
      <c r="BE60" s="50" t="n">
        <v>0</v>
      </c>
      <c r="BF60" s="50">
        <f>60</f>
      </c>
      <c r="BH60" s="50">
        <f>F60*AO60</f>
      </c>
      <c r="BI60" s="50">
        <f>F60*AP60</f>
      </c>
      <c r="BJ60" s="50">
        <f>F60*G60</f>
      </c>
      <c r="BK60" s="53" t="s">
        <v>73</v>
      </c>
      <c r="BL60" s="50" t="n">
        <v>725</v>
      </c>
      <c r="BW60" s="50" t="n">
        <v>21</v>
      </c>
      <c r="BX60" s="16" t="s">
        <v>182</v>
      </c>
    </row>
    <row r="61">
      <c r="A61" s="10" t="s">
        <v>183</v>
      </c>
      <c r="B61" s="11" t="s">
        <v>184</v>
      </c>
      <c r="C61" s="16" t="s">
        <v>185</v>
      </c>
      <c r="D61" s="11"/>
      <c r="E61" s="11" t="s">
        <v>53</v>
      </c>
      <c r="F61" s="50" t="n">
        <v>4</v>
      </c>
      <c r="G61" s="51" t="n">
        <v>0</v>
      </c>
      <c r="H61" s="50">
        <f>ROUND(F61*AO61,2)</f>
      </c>
      <c r="I61" s="50">
        <f>ROUND(F61*AP61,2)</f>
      </c>
      <c r="J61" s="50">
        <f>ROUND(F61*G61,2)</f>
      </c>
      <c r="K61" s="52" t="s">
        <v>54</v>
      </c>
      <c r="Z61" s="50">
        <f>ROUND(IF(AQ61="5",BJ61,0),2)</f>
      </c>
      <c r="AB61" s="50">
        <f>ROUND(IF(AQ61="1",BH61,0),2)</f>
      </c>
      <c r="AC61" s="50">
        <f>ROUND(IF(AQ61="1",BI61,0),2)</f>
      </c>
      <c r="AD61" s="50">
        <f>ROUND(IF(AQ61="7",BH61,0),2)</f>
      </c>
      <c r="AE61" s="50">
        <f>ROUND(IF(AQ61="7",BI61,0),2)</f>
      </c>
      <c r="AF61" s="50">
        <f>ROUND(IF(AQ61="2",BH61,0),2)</f>
      </c>
      <c r="AG61" s="50">
        <f>ROUND(IF(AQ61="2",BI61,0),2)</f>
      </c>
      <c r="AH61" s="50">
        <f>ROUND(IF(AQ61="0",BJ61,0),2)</f>
      </c>
      <c r="AI61" s="32" t="s">
        <v>47</v>
      </c>
      <c r="AJ61" s="50">
        <f>IF(AN61=0,J61,0)</f>
      </c>
      <c r="AK61" s="50">
        <f>IF(AN61=12,J61,0)</f>
      </c>
      <c r="AL61" s="50">
        <f>IF(AN61=21,J61,0)</f>
      </c>
      <c r="AN61" s="50" t="n">
        <v>21</v>
      </c>
      <c r="AO61" s="50">
        <f>G61*1</f>
      </c>
      <c r="AP61" s="50">
        <f>G61*(1-1)</f>
      </c>
      <c r="AQ61" s="53" t="s">
        <v>84</v>
      </c>
      <c r="AV61" s="50">
        <f>ROUND(AW61+AX61,2)</f>
      </c>
      <c r="AW61" s="50">
        <f>ROUND(F61*AO61,2)</f>
      </c>
      <c r="AX61" s="50">
        <f>ROUND(F61*AP61,2)</f>
      </c>
      <c r="AY61" s="53" t="s">
        <v>162</v>
      </c>
      <c r="AZ61" s="53" t="s">
        <v>144</v>
      </c>
      <c r="BA61" s="32" t="s">
        <v>57</v>
      </c>
      <c r="BC61" s="50">
        <f>AW61+AX61</f>
      </c>
      <c r="BD61" s="50">
        <f>G61/(100-BE61)*100</f>
      </c>
      <c r="BE61" s="50" t="n">
        <v>0</v>
      </c>
      <c r="BF61" s="50">
        <f>61</f>
      </c>
      <c r="BH61" s="50">
        <f>F61*AO61</f>
      </c>
      <c r="BI61" s="50">
        <f>F61*AP61</f>
      </c>
      <c r="BJ61" s="50">
        <f>F61*G61</f>
      </c>
      <c r="BK61" s="53" t="s">
        <v>73</v>
      </c>
      <c r="BL61" s="50" t="n">
        <v>725</v>
      </c>
      <c r="BW61" s="50" t="n">
        <v>21</v>
      </c>
      <c r="BX61" s="16" t="s">
        <v>185</v>
      </c>
    </row>
    <row r="62">
      <c r="A62" s="10" t="s">
        <v>186</v>
      </c>
      <c r="B62" s="11" t="s">
        <v>187</v>
      </c>
      <c r="C62" s="16" t="s">
        <v>188</v>
      </c>
      <c r="D62" s="11"/>
      <c r="E62" s="11" t="s">
        <v>53</v>
      </c>
      <c r="F62" s="50" t="n">
        <v>4</v>
      </c>
      <c r="G62" s="51" t="n">
        <v>0</v>
      </c>
      <c r="H62" s="50">
        <f>ROUND(F62*AO62,2)</f>
      </c>
      <c r="I62" s="50">
        <f>ROUND(F62*AP62,2)</f>
      </c>
      <c r="J62" s="50">
        <f>ROUND(F62*G62,2)</f>
      </c>
      <c r="K62" s="52" t="s">
        <v>54</v>
      </c>
      <c r="Z62" s="50">
        <f>ROUND(IF(AQ62="5",BJ62,0),2)</f>
      </c>
      <c r="AB62" s="50">
        <f>ROUND(IF(AQ62="1",BH62,0),2)</f>
      </c>
      <c r="AC62" s="50">
        <f>ROUND(IF(AQ62="1",BI62,0),2)</f>
      </c>
      <c r="AD62" s="50">
        <f>ROUND(IF(AQ62="7",BH62,0),2)</f>
      </c>
      <c r="AE62" s="50">
        <f>ROUND(IF(AQ62="7",BI62,0),2)</f>
      </c>
      <c r="AF62" s="50">
        <f>ROUND(IF(AQ62="2",BH62,0),2)</f>
      </c>
      <c r="AG62" s="50">
        <f>ROUND(IF(AQ62="2",BI62,0),2)</f>
      </c>
      <c r="AH62" s="50">
        <f>ROUND(IF(AQ62="0",BJ62,0),2)</f>
      </c>
      <c r="AI62" s="32" t="s">
        <v>47</v>
      </c>
      <c r="AJ62" s="50">
        <f>IF(AN62=0,J62,0)</f>
      </c>
      <c r="AK62" s="50">
        <f>IF(AN62=12,J62,0)</f>
      </c>
      <c r="AL62" s="50">
        <f>IF(AN62=21,J62,0)</f>
      </c>
      <c r="AN62" s="50" t="n">
        <v>21</v>
      </c>
      <c r="AO62" s="50">
        <f>G62*1</f>
      </c>
      <c r="AP62" s="50">
        <f>G62*(1-1)</f>
      </c>
      <c r="AQ62" s="53" t="s">
        <v>84</v>
      </c>
      <c r="AV62" s="50">
        <f>ROUND(AW62+AX62,2)</f>
      </c>
      <c r="AW62" s="50">
        <f>ROUND(F62*AO62,2)</f>
      </c>
      <c r="AX62" s="50">
        <f>ROUND(F62*AP62,2)</f>
      </c>
      <c r="AY62" s="53" t="s">
        <v>162</v>
      </c>
      <c r="AZ62" s="53" t="s">
        <v>144</v>
      </c>
      <c r="BA62" s="32" t="s">
        <v>57</v>
      </c>
      <c r="BC62" s="50">
        <f>AW62+AX62</f>
      </c>
      <c r="BD62" s="50">
        <f>G62/(100-BE62)*100</f>
      </c>
      <c r="BE62" s="50" t="n">
        <v>0</v>
      </c>
      <c r="BF62" s="50">
        <f>62</f>
      </c>
      <c r="BH62" s="50">
        <f>F62*AO62</f>
      </c>
      <c r="BI62" s="50">
        <f>F62*AP62</f>
      </c>
      <c r="BJ62" s="50">
        <f>F62*G62</f>
      </c>
      <c r="BK62" s="53" t="s">
        <v>73</v>
      </c>
      <c r="BL62" s="50" t="n">
        <v>725</v>
      </c>
      <c r="BW62" s="50" t="n">
        <v>21</v>
      </c>
      <c r="BX62" s="16" t="s">
        <v>188</v>
      </c>
    </row>
    <row r="63">
      <c r="A63" s="10" t="s">
        <v>60</v>
      </c>
      <c r="B63" s="11" t="s">
        <v>189</v>
      </c>
      <c r="C63" s="16" t="s">
        <v>190</v>
      </c>
      <c r="D63" s="11"/>
      <c r="E63" s="11" t="s">
        <v>53</v>
      </c>
      <c r="F63" s="50" t="n">
        <v>2</v>
      </c>
      <c r="G63" s="51" t="n">
        <v>0</v>
      </c>
      <c r="H63" s="50">
        <f>ROUND(F63*AO63,2)</f>
      </c>
      <c r="I63" s="50">
        <f>ROUND(F63*AP63,2)</f>
      </c>
      <c r="J63" s="50">
        <f>ROUND(F63*G63,2)</f>
      </c>
      <c r="K63" s="52" t="s">
        <v>54</v>
      </c>
      <c r="Z63" s="50">
        <f>ROUND(IF(AQ63="5",BJ63,0),2)</f>
      </c>
      <c r="AB63" s="50">
        <f>ROUND(IF(AQ63="1",BH63,0),2)</f>
      </c>
      <c r="AC63" s="50">
        <f>ROUND(IF(AQ63="1",BI63,0),2)</f>
      </c>
      <c r="AD63" s="50">
        <f>ROUND(IF(AQ63="7",BH63,0),2)</f>
      </c>
      <c r="AE63" s="50">
        <f>ROUND(IF(AQ63="7",BI63,0),2)</f>
      </c>
      <c r="AF63" s="50">
        <f>ROUND(IF(AQ63="2",BH63,0),2)</f>
      </c>
      <c r="AG63" s="50">
        <f>ROUND(IF(AQ63="2",BI63,0),2)</f>
      </c>
      <c r="AH63" s="50">
        <f>ROUND(IF(AQ63="0",BJ63,0),2)</f>
      </c>
      <c r="AI63" s="32" t="s">
        <v>47</v>
      </c>
      <c r="AJ63" s="50">
        <f>IF(AN63=0,J63,0)</f>
      </c>
      <c r="AK63" s="50">
        <f>IF(AN63=12,J63,0)</f>
      </c>
      <c r="AL63" s="50">
        <f>IF(AN63=21,J63,0)</f>
      </c>
      <c r="AN63" s="50" t="n">
        <v>21</v>
      </c>
      <c r="AO63" s="50">
        <f>G63*1</f>
      </c>
      <c r="AP63" s="50">
        <f>G63*(1-1)</f>
      </c>
      <c r="AQ63" s="53" t="s">
        <v>84</v>
      </c>
      <c r="AV63" s="50">
        <f>ROUND(AW63+AX63,2)</f>
      </c>
      <c r="AW63" s="50">
        <f>ROUND(F63*AO63,2)</f>
      </c>
      <c r="AX63" s="50">
        <f>ROUND(F63*AP63,2)</f>
      </c>
      <c r="AY63" s="53" t="s">
        <v>162</v>
      </c>
      <c r="AZ63" s="53" t="s">
        <v>144</v>
      </c>
      <c r="BA63" s="32" t="s">
        <v>57</v>
      </c>
      <c r="BC63" s="50">
        <f>AW63+AX63</f>
      </c>
      <c r="BD63" s="50">
        <f>G63/(100-BE63)*100</f>
      </c>
      <c r="BE63" s="50" t="n">
        <v>0</v>
      </c>
      <c r="BF63" s="50">
        <f>63</f>
      </c>
      <c r="BH63" s="50">
        <f>F63*AO63</f>
      </c>
      <c r="BI63" s="50">
        <f>F63*AP63</f>
      </c>
      <c r="BJ63" s="50">
        <f>F63*G63</f>
      </c>
      <c r="BK63" s="53" t="s">
        <v>73</v>
      </c>
      <c r="BL63" s="50" t="n">
        <v>725</v>
      </c>
      <c r="BW63" s="50" t="n">
        <v>21</v>
      </c>
      <c r="BX63" s="16" t="s">
        <v>190</v>
      </c>
    </row>
    <row r="64">
      <c r="A64" s="10" t="s">
        <v>191</v>
      </c>
      <c r="B64" s="11" t="s">
        <v>192</v>
      </c>
      <c r="C64" s="16" t="s">
        <v>193</v>
      </c>
      <c r="D64" s="11"/>
      <c r="E64" s="11" t="s">
        <v>53</v>
      </c>
      <c r="F64" s="50" t="n">
        <v>2</v>
      </c>
      <c r="G64" s="51" t="n">
        <v>0</v>
      </c>
      <c r="H64" s="50">
        <f>ROUND(F64*AO64,2)</f>
      </c>
      <c r="I64" s="50">
        <f>ROUND(F64*AP64,2)</f>
      </c>
      <c r="J64" s="50">
        <f>ROUND(F64*G64,2)</f>
      </c>
      <c r="K64" s="52" t="s">
        <v>54</v>
      </c>
      <c r="Z64" s="50">
        <f>ROUND(IF(AQ64="5",BJ64,0),2)</f>
      </c>
      <c r="AB64" s="50">
        <f>ROUND(IF(AQ64="1",BH64,0),2)</f>
      </c>
      <c r="AC64" s="50">
        <f>ROUND(IF(AQ64="1",BI64,0),2)</f>
      </c>
      <c r="AD64" s="50">
        <f>ROUND(IF(AQ64="7",BH64,0),2)</f>
      </c>
      <c r="AE64" s="50">
        <f>ROUND(IF(AQ64="7",BI64,0),2)</f>
      </c>
      <c r="AF64" s="50">
        <f>ROUND(IF(AQ64="2",BH64,0),2)</f>
      </c>
      <c r="AG64" s="50">
        <f>ROUND(IF(AQ64="2",BI64,0),2)</f>
      </c>
      <c r="AH64" s="50">
        <f>ROUND(IF(AQ64="0",BJ64,0),2)</f>
      </c>
      <c r="AI64" s="32" t="s">
        <v>47</v>
      </c>
      <c r="AJ64" s="50">
        <f>IF(AN64=0,J64,0)</f>
      </c>
      <c r="AK64" s="50">
        <f>IF(AN64=12,J64,0)</f>
      </c>
      <c r="AL64" s="50">
        <f>IF(AN64=21,J64,0)</f>
      </c>
      <c r="AN64" s="50" t="n">
        <v>21</v>
      </c>
      <c r="AO64" s="50">
        <f>G64*0.651381667</f>
      </c>
      <c r="AP64" s="50">
        <f>G64*(1-0.651381667)</f>
      </c>
      <c r="AQ64" s="53" t="s">
        <v>84</v>
      </c>
      <c r="AV64" s="50">
        <f>ROUND(AW64+AX64,2)</f>
      </c>
      <c r="AW64" s="50">
        <f>ROUND(F64*AO64,2)</f>
      </c>
      <c r="AX64" s="50">
        <f>ROUND(F64*AP64,2)</f>
      </c>
      <c r="AY64" s="53" t="s">
        <v>162</v>
      </c>
      <c r="AZ64" s="53" t="s">
        <v>144</v>
      </c>
      <c r="BA64" s="32" t="s">
        <v>57</v>
      </c>
      <c r="BC64" s="50">
        <f>AW64+AX64</f>
      </c>
      <c r="BD64" s="50">
        <f>G64/(100-BE64)*100</f>
      </c>
      <c r="BE64" s="50" t="n">
        <v>0</v>
      </c>
      <c r="BF64" s="50">
        <f>64</f>
      </c>
      <c r="BH64" s="50">
        <f>F64*AO64</f>
      </c>
      <c r="BI64" s="50">
        <f>F64*AP64</f>
      </c>
      <c r="BJ64" s="50">
        <f>F64*G64</f>
      </c>
      <c r="BK64" s="53" t="s">
        <v>58</v>
      </c>
      <c r="BL64" s="50" t="n">
        <v>725</v>
      </c>
      <c r="BW64" s="50" t="n">
        <v>21</v>
      </c>
      <c r="BX64" s="16" t="s">
        <v>193</v>
      </c>
    </row>
    <row r="65">
      <c r="A65" s="10" t="s">
        <v>194</v>
      </c>
      <c r="B65" s="11" t="s">
        <v>195</v>
      </c>
      <c r="C65" s="16" t="s">
        <v>196</v>
      </c>
      <c r="D65" s="11"/>
      <c r="E65" s="11" t="s">
        <v>53</v>
      </c>
      <c r="F65" s="50" t="n">
        <v>4</v>
      </c>
      <c r="G65" s="51" t="n">
        <v>0</v>
      </c>
      <c r="H65" s="50">
        <f>ROUND(F65*AO65,2)</f>
      </c>
      <c r="I65" s="50">
        <f>ROUND(F65*AP65,2)</f>
      </c>
      <c r="J65" s="50">
        <f>ROUND(F65*G65,2)</f>
      </c>
      <c r="K65" s="52" t="s">
        <v>54</v>
      </c>
      <c r="Z65" s="50">
        <f>ROUND(IF(AQ65="5",BJ65,0),2)</f>
      </c>
      <c r="AB65" s="50">
        <f>ROUND(IF(AQ65="1",BH65,0),2)</f>
      </c>
      <c r="AC65" s="50">
        <f>ROUND(IF(AQ65="1",BI65,0),2)</f>
      </c>
      <c r="AD65" s="50">
        <f>ROUND(IF(AQ65="7",BH65,0),2)</f>
      </c>
      <c r="AE65" s="50">
        <f>ROUND(IF(AQ65="7",BI65,0),2)</f>
      </c>
      <c r="AF65" s="50">
        <f>ROUND(IF(AQ65="2",BH65,0),2)</f>
      </c>
      <c r="AG65" s="50">
        <f>ROUND(IF(AQ65="2",BI65,0),2)</f>
      </c>
      <c r="AH65" s="50">
        <f>ROUND(IF(AQ65="0",BJ65,0),2)</f>
      </c>
      <c r="AI65" s="32" t="s">
        <v>47</v>
      </c>
      <c r="AJ65" s="50">
        <f>IF(AN65=0,J65,0)</f>
      </c>
      <c r="AK65" s="50">
        <f>IF(AN65=12,J65,0)</f>
      </c>
      <c r="AL65" s="50">
        <f>IF(AN65=21,J65,0)</f>
      </c>
      <c r="AN65" s="50" t="n">
        <v>21</v>
      </c>
      <c r="AO65" s="50">
        <f>G65*0.325723096</f>
      </c>
      <c r="AP65" s="50">
        <f>G65*(1-0.325723096)</f>
      </c>
      <c r="AQ65" s="53" t="s">
        <v>84</v>
      </c>
      <c r="AV65" s="50">
        <f>ROUND(AW65+AX65,2)</f>
      </c>
      <c r="AW65" s="50">
        <f>ROUND(F65*AO65,2)</f>
      </c>
      <c r="AX65" s="50">
        <f>ROUND(F65*AP65,2)</f>
      </c>
      <c r="AY65" s="53" t="s">
        <v>162</v>
      </c>
      <c r="AZ65" s="53" t="s">
        <v>144</v>
      </c>
      <c r="BA65" s="32" t="s">
        <v>57</v>
      </c>
      <c r="BC65" s="50">
        <f>AW65+AX65</f>
      </c>
      <c r="BD65" s="50">
        <f>G65/(100-BE65)*100</f>
      </c>
      <c r="BE65" s="50" t="n">
        <v>0</v>
      </c>
      <c r="BF65" s="50">
        <f>65</f>
      </c>
      <c r="BH65" s="50">
        <f>F65*AO65</f>
      </c>
      <c r="BI65" s="50">
        <f>F65*AP65</f>
      </c>
      <c r="BJ65" s="50">
        <f>F65*G65</f>
      </c>
      <c r="BK65" s="53" t="s">
        <v>58</v>
      </c>
      <c r="BL65" s="50" t="n">
        <v>725</v>
      </c>
      <c r="BW65" s="50" t="n">
        <v>21</v>
      </c>
      <c r="BX65" s="16" t="s">
        <v>196</v>
      </c>
    </row>
    <row r="66">
      <c r="A66" s="10" t="s">
        <v>197</v>
      </c>
      <c r="B66" s="11" t="s">
        <v>198</v>
      </c>
      <c r="C66" s="16" t="s">
        <v>199</v>
      </c>
      <c r="D66" s="11"/>
      <c r="E66" s="11" t="s">
        <v>53</v>
      </c>
      <c r="F66" s="50" t="n">
        <v>4</v>
      </c>
      <c r="G66" s="51" t="n">
        <v>0</v>
      </c>
      <c r="H66" s="50">
        <f>ROUND(F66*AO66,2)</f>
      </c>
      <c r="I66" s="50">
        <f>ROUND(F66*AP66,2)</f>
      </c>
      <c r="J66" s="50">
        <f>ROUND(F66*G66,2)</f>
      </c>
      <c r="K66" s="52" t="s">
        <v>54</v>
      </c>
      <c r="Z66" s="50">
        <f>ROUND(IF(AQ66="5",BJ66,0),2)</f>
      </c>
      <c r="AB66" s="50">
        <f>ROUND(IF(AQ66="1",BH66,0),2)</f>
      </c>
      <c r="AC66" s="50">
        <f>ROUND(IF(AQ66="1",BI66,0),2)</f>
      </c>
      <c r="AD66" s="50">
        <f>ROUND(IF(AQ66="7",BH66,0),2)</f>
      </c>
      <c r="AE66" s="50">
        <f>ROUND(IF(AQ66="7",BI66,0),2)</f>
      </c>
      <c r="AF66" s="50">
        <f>ROUND(IF(AQ66="2",BH66,0),2)</f>
      </c>
      <c r="AG66" s="50">
        <f>ROUND(IF(AQ66="2",BI66,0),2)</f>
      </c>
      <c r="AH66" s="50">
        <f>ROUND(IF(AQ66="0",BJ66,0),2)</f>
      </c>
      <c r="AI66" s="32" t="s">
        <v>47</v>
      </c>
      <c r="AJ66" s="50">
        <f>IF(AN66=0,J66,0)</f>
      </c>
      <c r="AK66" s="50">
        <f>IF(AN66=12,J66,0)</f>
      </c>
      <c r="AL66" s="50">
        <f>IF(AN66=21,J66,0)</f>
      </c>
      <c r="AN66" s="50" t="n">
        <v>21</v>
      </c>
      <c r="AO66" s="50">
        <f>G66*0.370358792</f>
      </c>
      <c r="AP66" s="50">
        <f>G66*(1-0.370358792)</f>
      </c>
      <c r="AQ66" s="53" t="s">
        <v>84</v>
      </c>
      <c r="AV66" s="50">
        <f>ROUND(AW66+AX66,2)</f>
      </c>
      <c r="AW66" s="50">
        <f>ROUND(F66*AO66,2)</f>
      </c>
      <c r="AX66" s="50">
        <f>ROUND(F66*AP66,2)</f>
      </c>
      <c r="AY66" s="53" t="s">
        <v>162</v>
      </c>
      <c r="AZ66" s="53" t="s">
        <v>144</v>
      </c>
      <c r="BA66" s="32" t="s">
        <v>57</v>
      </c>
      <c r="BC66" s="50">
        <f>AW66+AX66</f>
      </c>
      <c r="BD66" s="50">
        <f>G66/(100-BE66)*100</f>
      </c>
      <c r="BE66" s="50" t="n">
        <v>0</v>
      </c>
      <c r="BF66" s="50">
        <f>66</f>
      </c>
      <c r="BH66" s="50">
        <f>F66*AO66</f>
      </c>
      <c r="BI66" s="50">
        <f>F66*AP66</f>
      </c>
      <c r="BJ66" s="50">
        <f>F66*G66</f>
      </c>
      <c r="BK66" s="53" t="s">
        <v>58</v>
      </c>
      <c r="BL66" s="50" t="n">
        <v>725</v>
      </c>
      <c r="BW66" s="50" t="n">
        <v>21</v>
      </c>
      <c r="BX66" s="16" t="s">
        <v>199</v>
      </c>
    </row>
    <row r="67">
      <c r="A67" s="59" t="s">
        <v>47</v>
      </c>
      <c r="B67" s="60" t="s">
        <v>200</v>
      </c>
      <c r="C67" s="61" t="s">
        <v>201</v>
      </c>
      <c r="D67" s="60"/>
      <c r="E67" s="62" t="s">
        <v>4</v>
      </c>
      <c r="F67" s="62" t="s">
        <v>4</v>
      </c>
      <c r="G67" s="63" t="s">
        <v>4</v>
      </c>
      <c r="H67" s="2">
        <f>SUM(H68:H69)</f>
      </c>
      <c r="I67" s="2">
        <f>SUM(I68:I69)</f>
      </c>
      <c r="J67" s="2">
        <f>SUM(J68:J69)</f>
      </c>
      <c r="K67" s="64" t="s">
        <v>47</v>
      </c>
      <c r="AI67" s="32" t="s">
        <v>47</v>
      </c>
      <c r="AS67" s="2">
        <f>SUM(AJ68:AJ69)</f>
      </c>
      <c r="AT67" s="2">
        <f>SUM(AK68:AK69)</f>
      </c>
      <c r="AU67" s="2">
        <f>SUM(AL68:AL69)</f>
      </c>
    </row>
    <row r="68">
      <c r="A68" s="10" t="s">
        <v>202</v>
      </c>
      <c r="B68" s="11" t="s">
        <v>203</v>
      </c>
      <c r="C68" s="16" t="s">
        <v>204</v>
      </c>
      <c r="D68" s="11"/>
      <c r="E68" s="11" t="s">
        <v>53</v>
      </c>
      <c r="F68" s="50" t="n">
        <v>1</v>
      </c>
      <c r="G68" s="51" t="n">
        <v>0</v>
      </c>
      <c r="H68" s="50">
        <f>ROUND(F68*AO68,2)</f>
      </c>
      <c r="I68" s="50">
        <f>ROUND(F68*AP68,2)</f>
      </c>
      <c r="J68" s="50">
        <f>ROUND(F68*G68,2)</f>
      </c>
      <c r="K68" s="52" t="s">
        <v>54</v>
      </c>
      <c r="Z68" s="50">
        <f>ROUND(IF(AQ68="5",BJ68,0),2)</f>
      </c>
      <c r="AB68" s="50">
        <f>ROUND(IF(AQ68="1",BH68,0),2)</f>
      </c>
      <c r="AC68" s="50">
        <f>ROUND(IF(AQ68="1",BI68,0),2)</f>
      </c>
      <c r="AD68" s="50">
        <f>ROUND(IF(AQ68="7",BH68,0),2)</f>
      </c>
      <c r="AE68" s="50">
        <f>ROUND(IF(AQ68="7",BI68,0),2)</f>
      </c>
      <c r="AF68" s="50">
        <f>ROUND(IF(AQ68="2",BH68,0),2)</f>
      </c>
      <c r="AG68" s="50">
        <f>ROUND(IF(AQ68="2",BI68,0),2)</f>
      </c>
      <c r="AH68" s="50">
        <f>ROUND(IF(AQ68="0",BJ68,0),2)</f>
      </c>
      <c r="AI68" s="32" t="s">
        <v>47</v>
      </c>
      <c r="AJ68" s="50">
        <f>IF(AN68=0,J68,0)</f>
      </c>
      <c r="AK68" s="50">
        <f>IF(AN68=12,J68,0)</f>
      </c>
      <c r="AL68" s="50">
        <f>IF(AN68=21,J68,0)</f>
      </c>
      <c r="AN68" s="50" t="n">
        <v>21</v>
      </c>
      <c r="AO68" s="50">
        <f>G68*0</f>
      </c>
      <c r="AP68" s="50">
        <f>G68*(1-0)</f>
      </c>
      <c r="AQ68" s="53" t="s">
        <v>84</v>
      </c>
      <c r="AV68" s="50">
        <f>ROUND(AW68+AX68,2)</f>
      </c>
      <c r="AW68" s="50">
        <f>ROUND(F68*AO68,2)</f>
      </c>
      <c r="AX68" s="50">
        <f>ROUND(F68*AP68,2)</f>
      </c>
      <c r="AY68" s="53" t="s">
        <v>205</v>
      </c>
      <c r="AZ68" s="53" t="s">
        <v>144</v>
      </c>
      <c r="BA68" s="32" t="s">
        <v>57</v>
      </c>
      <c r="BC68" s="50">
        <f>AW68+AX68</f>
      </c>
      <c r="BD68" s="50">
        <f>G68/(100-BE68)*100</f>
      </c>
      <c r="BE68" s="50" t="n">
        <v>0</v>
      </c>
      <c r="BF68" s="50">
        <f>68</f>
      </c>
      <c r="BH68" s="50">
        <f>F68*AO68</f>
      </c>
      <c r="BI68" s="50">
        <f>F68*AP68</f>
      </c>
      <c r="BJ68" s="50">
        <f>F68*G68</f>
      </c>
      <c r="BK68" s="53" t="s">
        <v>58</v>
      </c>
      <c r="BL68" s="50" t="n">
        <v>728</v>
      </c>
      <c r="BW68" s="50" t="n">
        <v>21</v>
      </c>
      <c r="BX68" s="16" t="s">
        <v>204</v>
      </c>
    </row>
    <row r="69">
      <c r="A69" s="10" t="s">
        <v>206</v>
      </c>
      <c r="B69" s="11" t="s">
        <v>207</v>
      </c>
      <c r="C69" s="16" t="s">
        <v>208</v>
      </c>
      <c r="D69" s="11"/>
      <c r="E69" s="11" t="s">
        <v>53</v>
      </c>
      <c r="F69" s="50" t="n">
        <v>1</v>
      </c>
      <c r="G69" s="51" t="n">
        <v>0</v>
      </c>
      <c r="H69" s="50">
        <f>ROUND(F69*AO69,2)</f>
      </c>
      <c r="I69" s="50">
        <f>ROUND(F69*AP69,2)</f>
      </c>
      <c r="J69" s="50">
        <f>ROUND(F69*G69,2)</f>
      </c>
      <c r="K69" s="52" t="s">
        <v>54</v>
      </c>
      <c r="Z69" s="50">
        <f>ROUND(IF(AQ69="5",BJ69,0),2)</f>
      </c>
      <c r="AB69" s="50">
        <f>ROUND(IF(AQ69="1",BH69,0),2)</f>
      </c>
      <c r="AC69" s="50">
        <f>ROUND(IF(AQ69="1",BI69,0),2)</f>
      </c>
      <c r="AD69" s="50">
        <f>ROUND(IF(AQ69="7",BH69,0),2)</f>
      </c>
      <c r="AE69" s="50">
        <f>ROUND(IF(AQ69="7",BI69,0),2)</f>
      </c>
      <c r="AF69" s="50">
        <f>ROUND(IF(AQ69="2",BH69,0),2)</f>
      </c>
      <c r="AG69" s="50">
        <f>ROUND(IF(AQ69="2",BI69,0),2)</f>
      </c>
      <c r="AH69" s="50">
        <f>ROUND(IF(AQ69="0",BJ69,0),2)</f>
      </c>
      <c r="AI69" s="32" t="s">
        <v>47</v>
      </c>
      <c r="AJ69" s="50">
        <f>IF(AN69=0,J69,0)</f>
      </c>
      <c r="AK69" s="50">
        <f>IF(AN69=12,J69,0)</f>
      </c>
      <c r="AL69" s="50">
        <f>IF(AN69=21,J69,0)</f>
      </c>
      <c r="AN69" s="50" t="n">
        <v>21</v>
      </c>
      <c r="AO69" s="50">
        <f>G69*0</f>
      </c>
      <c r="AP69" s="50">
        <f>G69*(1-0)</f>
      </c>
      <c r="AQ69" s="53" t="s">
        <v>84</v>
      </c>
      <c r="AV69" s="50">
        <f>ROUND(AW69+AX69,2)</f>
      </c>
      <c r="AW69" s="50">
        <f>ROUND(F69*AO69,2)</f>
      </c>
      <c r="AX69" s="50">
        <f>ROUND(F69*AP69,2)</f>
      </c>
      <c r="AY69" s="53" t="s">
        <v>205</v>
      </c>
      <c r="AZ69" s="53" t="s">
        <v>144</v>
      </c>
      <c r="BA69" s="32" t="s">
        <v>57</v>
      </c>
      <c r="BC69" s="50">
        <f>AW69+AX69</f>
      </c>
      <c r="BD69" s="50">
        <f>G69/(100-BE69)*100</f>
      </c>
      <c r="BE69" s="50" t="n">
        <v>0</v>
      </c>
      <c r="BF69" s="50">
        <f>69</f>
      </c>
      <c r="BH69" s="50">
        <f>F69*AO69</f>
      </c>
      <c r="BI69" s="50">
        <f>F69*AP69</f>
      </c>
      <c r="BJ69" s="50">
        <f>F69*G69</f>
      </c>
      <c r="BK69" s="53" t="s">
        <v>58</v>
      </c>
      <c r="BL69" s="50" t="n">
        <v>728</v>
      </c>
      <c r="BW69" s="50" t="n">
        <v>21</v>
      </c>
      <c r="BX69" s="16" t="s">
        <v>208</v>
      </c>
    </row>
    <row r="70">
      <c r="A70" s="59" t="s">
        <v>47</v>
      </c>
      <c r="B70" s="60" t="s">
        <v>209</v>
      </c>
      <c r="C70" s="61" t="s">
        <v>210</v>
      </c>
      <c r="D70" s="60"/>
      <c r="E70" s="62" t="s">
        <v>4</v>
      </c>
      <c r="F70" s="62" t="s">
        <v>4</v>
      </c>
      <c r="G70" s="63" t="s">
        <v>4</v>
      </c>
      <c r="H70" s="2">
        <f>SUM(H71:H77)</f>
      </c>
      <c r="I70" s="2">
        <f>SUM(I71:I77)</f>
      </c>
      <c r="J70" s="2">
        <f>SUM(J71:J77)</f>
      </c>
      <c r="K70" s="64" t="s">
        <v>47</v>
      </c>
      <c r="AI70" s="32" t="s">
        <v>47</v>
      </c>
      <c r="AS70" s="2">
        <f>SUM(AJ71:AJ77)</f>
      </c>
      <c r="AT70" s="2">
        <f>SUM(AK71:AK77)</f>
      </c>
      <c r="AU70" s="2">
        <f>SUM(AL71:AL77)</f>
      </c>
    </row>
    <row r="71">
      <c r="A71" s="10" t="s">
        <v>211</v>
      </c>
      <c r="B71" s="11" t="s">
        <v>212</v>
      </c>
      <c r="C71" s="16" t="s">
        <v>213</v>
      </c>
      <c r="D71" s="11"/>
      <c r="E71" s="11" t="s">
        <v>53</v>
      </c>
      <c r="F71" s="50" t="n">
        <v>7</v>
      </c>
      <c r="G71" s="51" t="n">
        <v>0</v>
      </c>
      <c r="H71" s="50">
        <f>ROUND(F71*AO71,2)</f>
      </c>
      <c r="I71" s="50">
        <f>ROUND(F71*AP71,2)</f>
      </c>
      <c r="J71" s="50">
        <f>ROUND(F71*G71,2)</f>
      </c>
      <c r="K71" s="52" t="s">
        <v>54</v>
      </c>
      <c r="Z71" s="50">
        <f>ROUND(IF(AQ71="5",BJ71,0),2)</f>
      </c>
      <c r="AB71" s="50">
        <f>ROUND(IF(AQ71="1",BH71,0),2)</f>
      </c>
      <c r="AC71" s="50">
        <f>ROUND(IF(AQ71="1",BI71,0),2)</f>
      </c>
      <c r="AD71" s="50">
        <f>ROUND(IF(AQ71="7",BH71,0),2)</f>
      </c>
      <c r="AE71" s="50">
        <f>ROUND(IF(AQ71="7",BI71,0),2)</f>
      </c>
      <c r="AF71" s="50">
        <f>ROUND(IF(AQ71="2",BH71,0),2)</f>
      </c>
      <c r="AG71" s="50">
        <f>ROUND(IF(AQ71="2",BI71,0),2)</f>
      </c>
      <c r="AH71" s="50">
        <f>ROUND(IF(AQ71="0",BJ71,0),2)</f>
      </c>
      <c r="AI71" s="32" t="s">
        <v>47</v>
      </c>
      <c r="AJ71" s="50">
        <f>IF(AN71=0,J71,0)</f>
      </c>
      <c r="AK71" s="50">
        <f>IF(AN71=12,J71,0)</f>
      </c>
      <c r="AL71" s="50">
        <f>IF(AN71=21,J71,0)</f>
      </c>
      <c r="AN71" s="50" t="n">
        <v>21</v>
      </c>
      <c r="AO71" s="50">
        <f>G71*0.100943953</f>
      </c>
      <c r="AP71" s="50">
        <f>G71*(1-0.100943953)</f>
      </c>
      <c r="AQ71" s="53" t="s">
        <v>84</v>
      </c>
      <c r="AV71" s="50">
        <f>ROUND(AW71+AX71,2)</f>
      </c>
      <c r="AW71" s="50">
        <f>ROUND(F71*AO71,2)</f>
      </c>
      <c r="AX71" s="50">
        <f>ROUND(F71*AP71,2)</f>
      </c>
      <c r="AY71" s="53" t="s">
        <v>214</v>
      </c>
      <c r="AZ71" s="53" t="s">
        <v>215</v>
      </c>
      <c r="BA71" s="32" t="s">
        <v>57</v>
      </c>
      <c r="BC71" s="50">
        <f>AW71+AX71</f>
      </c>
      <c r="BD71" s="50">
        <f>G71/(100-BE71)*100</f>
      </c>
      <c r="BE71" s="50" t="n">
        <v>0</v>
      </c>
      <c r="BF71" s="50">
        <f>71</f>
      </c>
      <c r="BH71" s="50">
        <f>F71*AO71</f>
      </c>
      <c r="BI71" s="50">
        <f>F71*AP71</f>
      </c>
      <c r="BJ71" s="50">
        <f>F71*G71</f>
      </c>
      <c r="BK71" s="53" t="s">
        <v>58</v>
      </c>
      <c r="BL71" s="50" t="n">
        <v>735</v>
      </c>
      <c r="BW71" s="50" t="n">
        <v>21</v>
      </c>
      <c r="BX71" s="16" t="s">
        <v>213</v>
      </c>
    </row>
    <row r="72">
      <c r="A72" s="10" t="s">
        <v>216</v>
      </c>
      <c r="B72" s="11" t="s">
        <v>217</v>
      </c>
      <c r="C72" s="16" t="s">
        <v>218</v>
      </c>
      <c r="D72" s="11"/>
      <c r="E72" s="11" t="s">
        <v>53</v>
      </c>
      <c r="F72" s="50" t="n">
        <v>7</v>
      </c>
      <c r="G72" s="51" t="n">
        <v>0</v>
      </c>
      <c r="H72" s="50">
        <f>ROUND(F72*AO72,2)</f>
      </c>
      <c r="I72" s="50">
        <f>ROUND(F72*AP72,2)</f>
      </c>
      <c r="J72" s="50">
        <f>ROUND(F72*G72,2)</f>
      </c>
      <c r="K72" s="52" t="s">
        <v>54</v>
      </c>
      <c r="Z72" s="50">
        <f>ROUND(IF(AQ72="5",BJ72,0),2)</f>
      </c>
      <c r="AB72" s="50">
        <f>ROUND(IF(AQ72="1",BH72,0),2)</f>
      </c>
      <c r="AC72" s="50">
        <f>ROUND(IF(AQ72="1",BI72,0),2)</f>
      </c>
      <c r="AD72" s="50">
        <f>ROUND(IF(AQ72="7",BH72,0),2)</f>
      </c>
      <c r="AE72" s="50">
        <f>ROUND(IF(AQ72="7",BI72,0),2)</f>
      </c>
      <c r="AF72" s="50">
        <f>ROUND(IF(AQ72="2",BH72,0),2)</f>
      </c>
      <c r="AG72" s="50">
        <f>ROUND(IF(AQ72="2",BI72,0),2)</f>
      </c>
      <c r="AH72" s="50">
        <f>ROUND(IF(AQ72="0",BJ72,0),2)</f>
      </c>
      <c r="AI72" s="32" t="s">
        <v>47</v>
      </c>
      <c r="AJ72" s="50">
        <f>IF(AN72=0,J72,0)</f>
      </c>
      <c r="AK72" s="50">
        <f>IF(AN72=12,J72,0)</f>
      </c>
      <c r="AL72" s="50">
        <f>IF(AN72=21,J72,0)</f>
      </c>
      <c r="AN72" s="50" t="n">
        <v>21</v>
      </c>
      <c r="AO72" s="50">
        <f>G72*0.008551331</f>
      </c>
      <c r="AP72" s="50">
        <f>G72*(1-0.008551331)</f>
      </c>
      <c r="AQ72" s="53" t="s">
        <v>84</v>
      </c>
      <c r="AV72" s="50">
        <f>ROUND(AW72+AX72,2)</f>
      </c>
      <c r="AW72" s="50">
        <f>ROUND(F72*AO72,2)</f>
      </c>
      <c r="AX72" s="50">
        <f>ROUND(F72*AP72,2)</f>
      </c>
      <c r="AY72" s="53" t="s">
        <v>214</v>
      </c>
      <c r="AZ72" s="53" t="s">
        <v>215</v>
      </c>
      <c r="BA72" s="32" t="s">
        <v>57</v>
      </c>
      <c r="BC72" s="50">
        <f>AW72+AX72</f>
      </c>
      <c r="BD72" s="50">
        <f>G72/(100-BE72)*100</f>
      </c>
      <c r="BE72" s="50" t="n">
        <v>0</v>
      </c>
      <c r="BF72" s="50">
        <f>72</f>
      </c>
      <c r="BH72" s="50">
        <f>F72*AO72</f>
      </c>
      <c r="BI72" s="50">
        <f>F72*AP72</f>
      </c>
      <c r="BJ72" s="50">
        <f>F72*G72</f>
      </c>
      <c r="BK72" s="53" t="s">
        <v>58</v>
      </c>
      <c r="BL72" s="50" t="n">
        <v>735</v>
      </c>
      <c r="BW72" s="50" t="n">
        <v>21</v>
      </c>
      <c r="BX72" s="16" t="s">
        <v>218</v>
      </c>
    </row>
    <row r="73">
      <c r="A73" s="10" t="s">
        <v>219</v>
      </c>
      <c r="B73" s="11" t="s">
        <v>220</v>
      </c>
      <c r="C73" s="16" t="s">
        <v>221</v>
      </c>
      <c r="D73" s="11"/>
      <c r="E73" s="11" t="s">
        <v>65</v>
      </c>
      <c r="F73" s="50" t="n">
        <v>2.58</v>
      </c>
      <c r="G73" s="51" t="n">
        <v>0</v>
      </c>
      <c r="H73" s="50">
        <f>ROUND(F73*AO73,2)</f>
      </c>
      <c r="I73" s="50">
        <f>ROUND(F73*AP73,2)</f>
      </c>
      <c r="J73" s="50">
        <f>ROUND(F73*G73,2)</f>
      </c>
      <c r="K73" s="52" t="s">
        <v>54</v>
      </c>
      <c r="Z73" s="50">
        <f>ROUND(IF(AQ73="5",BJ73,0),2)</f>
      </c>
      <c r="AB73" s="50">
        <f>ROUND(IF(AQ73="1",BH73,0),2)</f>
      </c>
      <c r="AC73" s="50">
        <f>ROUND(IF(AQ73="1",BI73,0),2)</f>
      </c>
      <c r="AD73" s="50">
        <f>ROUND(IF(AQ73="7",BH73,0),2)</f>
      </c>
      <c r="AE73" s="50">
        <f>ROUND(IF(AQ73="7",BI73,0),2)</f>
      </c>
      <c r="AF73" s="50">
        <f>ROUND(IF(AQ73="2",BH73,0),2)</f>
      </c>
      <c r="AG73" s="50">
        <f>ROUND(IF(AQ73="2",BI73,0),2)</f>
      </c>
      <c r="AH73" s="50">
        <f>ROUND(IF(AQ73="0",BJ73,0),2)</f>
      </c>
      <c r="AI73" s="32" t="s">
        <v>47</v>
      </c>
      <c r="AJ73" s="50">
        <f>IF(AN73=0,J73,0)</f>
      </c>
      <c r="AK73" s="50">
        <f>IF(AN73=12,J73,0)</f>
      </c>
      <c r="AL73" s="50">
        <f>IF(AN73=21,J73,0)</f>
      </c>
      <c r="AN73" s="50" t="n">
        <v>21</v>
      </c>
      <c r="AO73" s="50">
        <f>G73*0</f>
      </c>
      <c r="AP73" s="50">
        <f>G73*(1-0)</f>
      </c>
      <c r="AQ73" s="53" t="s">
        <v>84</v>
      </c>
      <c r="AV73" s="50">
        <f>ROUND(AW73+AX73,2)</f>
      </c>
      <c r="AW73" s="50">
        <f>ROUND(F73*AO73,2)</f>
      </c>
      <c r="AX73" s="50">
        <f>ROUND(F73*AP73,2)</f>
      </c>
      <c r="AY73" s="53" t="s">
        <v>214</v>
      </c>
      <c r="AZ73" s="53" t="s">
        <v>215</v>
      </c>
      <c r="BA73" s="32" t="s">
        <v>57</v>
      </c>
      <c r="BC73" s="50">
        <f>AW73+AX73</f>
      </c>
      <c r="BD73" s="50">
        <f>G73/(100-BE73)*100</f>
      </c>
      <c r="BE73" s="50" t="n">
        <v>0</v>
      </c>
      <c r="BF73" s="50">
        <f>73</f>
      </c>
      <c r="BH73" s="50">
        <f>F73*AO73</f>
      </c>
      <c r="BI73" s="50">
        <f>F73*AP73</f>
      </c>
      <c r="BJ73" s="50">
        <f>F73*G73</f>
      </c>
      <c r="BK73" s="53" t="s">
        <v>58</v>
      </c>
      <c r="BL73" s="50" t="n">
        <v>735</v>
      </c>
      <c r="BW73" s="50" t="n">
        <v>21</v>
      </c>
      <c r="BX73" s="16" t="s">
        <v>221</v>
      </c>
    </row>
    <row r="74">
      <c r="A74" s="10" t="s">
        <v>222</v>
      </c>
      <c r="B74" s="11" t="s">
        <v>223</v>
      </c>
      <c r="C74" s="16" t="s">
        <v>224</v>
      </c>
      <c r="D74" s="11"/>
      <c r="E74" s="11" t="s">
        <v>53</v>
      </c>
      <c r="F74" s="50" t="n">
        <v>7</v>
      </c>
      <c r="G74" s="51" t="n">
        <v>0</v>
      </c>
      <c r="H74" s="50">
        <f>ROUND(F74*AO74,2)</f>
      </c>
      <c r="I74" s="50">
        <f>ROUND(F74*AP74,2)</f>
      </c>
      <c r="J74" s="50">
        <f>ROUND(F74*G74,2)</f>
      </c>
      <c r="K74" s="52" t="s">
        <v>54</v>
      </c>
      <c r="Z74" s="50">
        <f>ROUND(IF(AQ74="5",BJ74,0),2)</f>
      </c>
      <c r="AB74" s="50">
        <f>ROUND(IF(AQ74="1",BH74,0),2)</f>
      </c>
      <c r="AC74" s="50">
        <f>ROUND(IF(AQ74="1",BI74,0),2)</f>
      </c>
      <c r="AD74" s="50">
        <f>ROUND(IF(AQ74="7",BH74,0),2)</f>
      </c>
      <c r="AE74" s="50">
        <f>ROUND(IF(AQ74="7",BI74,0),2)</f>
      </c>
      <c r="AF74" s="50">
        <f>ROUND(IF(AQ74="2",BH74,0),2)</f>
      </c>
      <c r="AG74" s="50">
        <f>ROUND(IF(AQ74="2",BI74,0),2)</f>
      </c>
      <c r="AH74" s="50">
        <f>ROUND(IF(AQ74="0",BJ74,0),2)</f>
      </c>
      <c r="AI74" s="32" t="s">
        <v>47</v>
      </c>
      <c r="AJ74" s="50">
        <f>IF(AN74=0,J74,0)</f>
      </c>
      <c r="AK74" s="50">
        <f>IF(AN74=12,J74,0)</f>
      </c>
      <c r="AL74" s="50">
        <f>IF(AN74=21,J74,0)</f>
      </c>
      <c r="AN74" s="50" t="n">
        <v>21</v>
      </c>
      <c r="AO74" s="50">
        <f>G74*0</f>
      </c>
      <c r="AP74" s="50">
        <f>G74*(1-0)</f>
      </c>
      <c r="AQ74" s="53" t="s">
        <v>84</v>
      </c>
      <c r="AV74" s="50">
        <f>ROUND(AW74+AX74,2)</f>
      </c>
      <c r="AW74" s="50">
        <f>ROUND(F74*AO74,2)</f>
      </c>
      <c r="AX74" s="50">
        <f>ROUND(F74*AP74,2)</f>
      </c>
      <c r="AY74" s="53" t="s">
        <v>214</v>
      </c>
      <c r="AZ74" s="53" t="s">
        <v>215</v>
      </c>
      <c r="BA74" s="32" t="s">
        <v>57</v>
      </c>
      <c r="BC74" s="50">
        <f>AW74+AX74</f>
      </c>
      <c r="BD74" s="50">
        <f>G74/(100-BE74)*100</f>
      </c>
      <c r="BE74" s="50" t="n">
        <v>0</v>
      </c>
      <c r="BF74" s="50">
        <f>74</f>
      </c>
      <c r="BH74" s="50">
        <f>F74*AO74</f>
      </c>
      <c r="BI74" s="50">
        <f>F74*AP74</f>
      </c>
      <c r="BJ74" s="50">
        <f>F74*G74</f>
      </c>
      <c r="BK74" s="53" t="s">
        <v>58</v>
      </c>
      <c r="BL74" s="50" t="n">
        <v>735</v>
      </c>
      <c r="BW74" s="50" t="n">
        <v>21</v>
      </c>
      <c r="BX74" s="16" t="s">
        <v>224</v>
      </c>
    </row>
    <row r="75">
      <c r="A75" s="10" t="s">
        <v>225</v>
      </c>
      <c r="B75" s="11" t="s">
        <v>226</v>
      </c>
      <c r="C75" s="16" t="s">
        <v>227</v>
      </c>
      <c r="D75" s="11"/>
      <c r="E75" s="11" t="s">
        <v>53</v>
      </c>
      <c r="F75" s="50" t="n">
        <v>2</v>
      </c>
      <c r="G75" s="51" t="n">
        <v>0</v>
      </c>
      <c r="H75" s="50">
        <f>ROUND(F75*AO75,2)</f>
      </c>
      <c r="I75" s="50">
        <f>ROUND(F75*AP75,2)</f>
      </c>
      <c r="J75" s="50">
        <f>ROUND(F75*G75,2)</f>
      </c>
      <c r="K75" s="52" t="s">
        <v>54</v>
      </c>
      <c r="Z75" s="50">
        <f>ROUND(IF(AQ75="5",BJ75,0),2)</f>
      </c>
      <c r="AB75" s="50">
        <f>ROUND(IF(AQ75="1",BH75,0),2)</f>
      </c>
      <c r="AC75" s="50">
        <f>ROUND(IF(AQ75="1",BI75,0),2)</f>
      </c>
      <c r="AD75" s="50">
        <f>ROUND(IF(AQ75="7",BH75,0),2)</f>
      </c>
      <c r="AE75" s="50">
        <f>ROUND(IF(AQ75="7",BI75,0),2)</f>
      </c>
      <c r="AF75" s="50">
        <f>ROUND(IF(AQ75="2",BH75,0),2)</f>
      </c>
      <c r="AG75" s="50">
        <f>ROUND(IF(AQ75="2",BI75,0),2)</f>
      </c>
      <c r="AH75" s="50">
        <f>ROUND(IF(AQ75="0",BJ75,0),2)</f>
      </c>
      <c r="AI75" s="32" t="s">
        <v>47</v>
      </c>
      <c r="AJ75" s="50">
        <f>IF(AN75=0,J75,0)</f>
      </c>
      <c r="AK75" s="50">
        <f>IF(AN75=12,J75,0)</f>
      </c>
      <c r="AL75" s="50">
        <f>IF(AN75=21,J75,0)</f>
      </c>
      <c r="AN75" s="50" t="n">
        <v>21</v>
      </c>
      <c r="AO75" s="50">
        <f>G75*1</f>
      </c>
      <c r="AP75" s="50">
        <f>G75*(1-1)</f>
      </c>
      <c r="AQ75" s="53" t="s">
        <v>84</v>
      </c>
      <c r="AV75" s="50">
        <f>ROUND(AW75+AX75,2)</f>
      </c>
      <c r="AW75" s="50">
        <f>ROUND(F75*AO75,2)</f>
      </c>
      <c r="AX75" s="50">
        <f>ROUND(F75*AP75,2)</f>
      </c>
      <c r="AY75" s="53" t="s">
        <v>214</v>
      </c>
      <c r="AZ75" s="53" t="s">
        <v>215</v>
      </c>
      <c r="BA75" s="32" t="s">
        <v>57</v>
      </c>
      <c r="BC75" s="50">
        <f>AW75+AX75</f>
      </c>
      <c r="BD75" s="50">
        <f>G75/(100-BE75)*100</f>
      </c>
      <c r="BE75" s="50" t="n">
        <v>0</v>
      </c>
      <c r="BF75" s="50">
        <f>75</f>
      </c>
      <c r="BH75" s="50">
        <f>F75*AO75</f>
      </c>
      <c r="BI75" s="50">
        <f>F75*AP75</f>
      </c>
      <c r="BJ75" s="50">
        <f>F75*G75</f>
      </c>
      <c r="BK75" s="53" t="s">
        <v>73</v>
      </c>
      <c r="BL75" s="50" t="n">
        <v>735</v>
      </c>
      <c r="BW75" s="50" t="n">
        <v>21</v>
      </c>
      <c r="BX75" s="16" t="s">
        <v>227</v>
      </c>
    </row>
    <row r="76">
      <c r="A76" s="10" t="s">
        <v>228</v>
      </c>
      <c r="B76" s="11" t="s">
        <v>229</v>
      </c>
      <c r="C76" s="16" t="s">
        <v>230</v>
      </c>
      <c r="D76" s="11"/>
      <c r="E76" s="11" t="s">
        <v>53</v>
      </c>
      <c r="F76" s="50" t="n">
        <v>1</v>
      </c>
      <c r="G76" s="51" t="n">
        <v>0</v>
      </c>
      <c r="H76" s="50">
        <f>ROUND(F76*AO76,2)</f>
      </c>
      <c r="I76" s="50">
        <f>ROUND(F76*AP76,2)</f>
      </c>
      <c r="J76" s="50">
        <f>ROUND(F76*G76,2)</f>
      </c>
      <c r="K76" s="52" t="s">
        <v>54</v>
      </c>
      <c r="Z76" s="50">
        <f>ROUND(IF(AQ76="5",BJ76,0),2)</f>
      </c>
      <c r="AB76" s="50">
        <f>ROUND(IF(AQ76="1",BH76,0),2)</f>
      </c>
      <c r="AC76" s="50">
        <f>ROUND(IF(AQ76="1",BI76,0),2)</f>
      </c>
      <c r="AD76" s="50">
        <f>ROUND(IF(AQ76="7",BH76,0),2)</f>
      </c>
      <c r="AE76" s="50">
        <f>ROUND(IF(AQ76="7",BI76,0),2)</f>
      </c>
      <c r="AF76" s="50">
        <f>ROUND(IF(AQ76="2",BH76,0),2)</f>
      </c>
      <c r="AG76" s="50">
        <f>ROUND(IF(AQ76="2",BI76,0),2)</f>
      </c>
      <c r="AH76" s="50">
        <f>ROUND(IF(AQ76="0",BJ76,0),2)</f>
      </c>
      <c r="AI76" s="32" t="s">
        <v>47</v>
      </c>
      <c r="AJ76" s="50">
        <f>IF(AN76=0,J76,0)</f>
      </c>
      <c r="AK76" s="50">
        <f>IF(AN76=12,J76,0)</f>
      </c>
      <c r="AL76" s="50">
        <f>IF(AN76=21,J76,0)</f>
      </c>
      <c r="AN76" s="50" t="n">
        <v>21</v>
      </c>
      <c r="AO76" s="50">
        <f>G76*1</f>
      </c>
      <c r="AP76" s="50">
        <f>G76*(1-1)</f>
      </c>
      <c r="AQ76" s="53" t="s">
        <v>84</v>
      </c>
      <c r="AV76" s="50">
        <f>ROUND(AW76+AX76,2)</f>
      </c>
      <c r="AW76" s="50">
        <f>ROUND(F76*AO76,2)</f>
      </c>
      <c r="AX76" s="50">
        <f>ROUND(F76*AP76,2)</f>
      </c>
      <c r="AY76" s="53" t="s">
        <v>214</v>
      </c>
      <c r="AZ76" s="53" t="s">
        <v>215</v>
      </c>
      <c r="BA76" s="32" t="s">
        <v>57</v>
      </c>
      <c r="BC76" s="50">
        <f>AW76+AX76</f>
      </c>
      <c r="BD76" s="50">
        <f>G76/(100-BE76)*100</f>
      </c>
      <c r="BE76" s="50" t="n">
        <v>0</v>
      </c>
      <c r="BF76" s="50">
        <f>76</f>
      </c>
      <c r="BH76" s="50">
        <f>F76*AO76</f>
      </c>
      <c r="BI76" s="50">
        <f>F76*AP76</f>
      </c>
      <c r="BJ76" s="50">
        <f>F76*G76</f>
      </c>
      <c r="BK76" s="53" t="s">
        <v>73</v>
      </c>
      <c r="BL76" s="50" t="n">
        <v>735</v>
      </c>
      <c r="BW76" s="50" t="n">
        <v>21</v>
      </c>
      <c r="BX76" s="16" t="s">
        <v>230</v>
      </c>
    </row>
    <row r="77">
      <c r="A77" s="10" t="s">
        <v>231</v>
      </c>
      <c r="B77" s="11" t="s">
        <v>232</v>
      </c>
      <c r="C77" s="16" t="s">
        <v>233</v>
      </c>
      <c r="D77" s="11"/>
      <c r="E77" s="11" t="s">
        <v>53</v>
      </c>
      <c r="F77" s="50" t="n">
        <v>4</v>
      </c>
      <c r="G77" s="51" t="n">
        <v>0</v>
      </c>
      <c r="H77" s="50">
        <f>ROUND(F77*AO77,2)</f>
      </c>
      <c r="I77" s="50">
        <f>ROUND(F77*AP77,2)</f>
      </c>
      <c r="J77" s="50">
        <f>ROUND(F77*G77,2)</f>
      </c>
      <c r="K77" s="52" t="s">
        <v>54</v>
      </c>
      <c r="Z77" s="50">
        <f>ROUND(IF(AQ77="5",BJ77,0),2)</f>
      </c>
      <c r="AB77" s="50">
        <f>ROUND(IF(AQ77="1",BH77,0),2)</f>
      </c>
      <c r="AC77" s="50">
        <f>ROUND(IF(AQ77="1",BI77,0),2)</f>
      </c>
      <c r="AD77" s="50">
        <f>ROUND(IF(AQ77="7",BH77,0),2)</f>
      </c>
      <c r="AE77" s="50">
        <f>ROUND(IF(AQ77="7",BI77,0),2)</f>
      </c>
      <c r="AF77" s="50">
        <f>ROUND(IF(AQ77="2",BH77,0),2)</f>
      </c>
      <c r="AG77" s="50">
        <f>ROUND(IF(AQ77="2",BI77,0),2)</f>
      </c>
      <c r="AH77" s="50">
        <f>ROUND(IF(AQ77="0",BJ77,0),2)</f>
      </c>
      <c r="AI77" s="32" t="s">
        <v>47</v>
      </c>
      <c r="AJ77" s="50">
        <f>IF(AN77=0,J77,0)</f>
      </c>
      <c r="AK77" s="50">
        <f>IF(AN77=12,J77,0)</f>
      </c>
      <c r="AL77" s="50">
        <f>IF(AN77=21,J77,0)</f>
      </c>
      <c r="AN77" s="50" t="n">
        <v>21</v>
      </c>
      <c r="AO77" s="50">
        <f>G77*1</f>
      </c>
      <c r="AP77" s="50">
        <f>G77*(1-1)</f>
      </c>
      <c r="AQ77" s="53" t="s">
        <v>84</v>
      </c>
      <c r="AV77" s="50">
        <f>ROUND(AW77+AX77,2)</f>
      </c>
      <c r="AW77" s="50">
        <f>ROUND(F77*AO77,2)</f>
      </c>
      <c r="AX77" s="50">
        <f>ROUND(F77*AP77,2)</f>
      </c>
      <c r="AY77" s="53" t="s">
        <v>214</v>
      </c>
      <c r="AZ77" s="53" t="s">
        <v>215</v>
      </c>
      <c r="BA77" s="32" t="s">
        <v>57</v>
      </c>
      <c r="BC77" s="50">
        <f>AW77+AX77</f>
      </c>
      <c r="BD77" s="50">
        <f>G77/(100-BE77)*100</f>
      </c>
      <c r="BE77" s="50" t="n">
        <v>0</v>
      </c>
      <c r="BF77" s="50">
        <f>77</f>
      </c>
      <c r="BH77" s="50">
        <f>F77*AO77</f>
      </c>
      <c r="BI77" s="50">
        <f>F77*AP77</f>
      </c>
      <c r="BJ77" s="50">
        <f>F77*G77</f>
      </c>
      <c r="BK77" s="53" t="s">
        <v>73</v>
      </c>
      <c r="BL77" s="50" t="n">
        <v>735</v>
      </c>
      <c r="BW77" s="50" t="n">
        <v>21</v>
      </c>
      <c r="BX77" s="16" t="s">
        <v>233</v>
      </c>
    </row>
    <row r="78">
      <c r="A78" s="59" t="s">
        <v>47</v>
      </c>
      <c r="B78" s="60" t="s">
        <v>234</v>
      </c>
      <c r="C78" s="61" t="s">
        <v>235</v>
      </c>
      <c r="D78" s="60"/>
      <c r="E78" s="62" t="s">
        <v>4</v>
      </c>
      <c r="F78" s="62" t="s">
        <v>4</v>
      </c>
      <c r="G78" s="63" t="s">
        <v>4</v>
      </c>
      <c r="H78" s="2">
        <f>SUM(H79:H90)</f>
      </c>
      <c r="I78" s="2">
        <f>SUM(I79:I90)</f>
      </c>
      <c r="J78" s="2">
        <f>SUM(J79:J90)</f>
      </c>
      <c r="K78" s="64" t="s">
        <v>47</v>
      </c>
      <c r="AI78" s="32" t="s">
        <v>47</v>
      </c>
      <c r="AS78" s="2">
        <f>SUM(AJ79:AJ90)</f>
      </c>
      <c r="AT78" s="2">
        <f>SUM(AK79:AK90)</f>
      </c>
      <c r="AU78" s="2">
        <f>SUM(AL79:AL90)</f>
      </c>
    </row>
    <row r="79" ht="24.75">
      <c r="A79" s="10" t="s">
        <v>236</v>
      </c>
      <c r="B79" s="11" t="s">
        <v>237</v>
      </c>
      <c r="C79" s="16" t="s">
        <v>238</v>
      </c>
      <c r="D79" s="11"/>
      <c r="E79" s="11" t="s">
        <v>65</v>
      </c>
      <c r="F79" s="50" t="n">
        <v>15.7773</v>
      </c>
      <c r="G79" s="51" t="n">
        <v>0</v>
      </c>
      <c r="H79" s="50">
        <f>ROUND(F79*AO79,2)</f>
      </c>
      <c r="I79" s="50">
        <f>ROUND(F79*AP79,2)</f>
      </c>
      <c r="J79" s="50">
        <f>ROUND(F79*G79,2)</f>
      </c>
      <c r="K79" s="52" t="s">
        <v>54</v>
      </c>
      <c r="Z79" s="50">
        <f>ROUND(IF(AQ79="5",BJ79,0),2)</f>
      </c>
      <c r="AB79" s="50">
        <f>ROUND(IF(AQ79="1",BH79,0),2)</f>
      </c>
      <c r="AC79" s="50">
        <f>ROUND(IF(AQ79="1",BI79,0),2)</f>
      </c>
      <c r="AD79" s="50">
        <f>ROUND(IF(AQ79="7",BH79,0),2)</f>
      </c>
      <c r="AE79" s="50">
        <f>ROUND(IF(AQ79="7",BI79,0),2)</f>
      </c>
      <c r="AF79" s="50">
        <f>ROUND(IF(AQ79="2",BH79,0),2)</f>
      </c>
      <c r="AG79" s="50">
        <f>ROUND(IF(AQ79="2",BI79,0),2)</f>
      </c>
      <c r="AH79" s="50">
        <f>ROUND(IF(AQ79="0",BJ79,0),2)</f>
      </c>
      <c r="AI79" s="32" t="s">
        <v>47</v>
      </c>
      <c r="AJ79" s="50">
        <f>IF(AN79=0,J79,0)</f>
      </c>
      <c r="AK79" s="50">
        <f>IF(AN79=12,J79,0)</f>
      </c>
      <c r="AL79" s="50">
        <f>IF(AN79=21,J79,0)</f>
      </c>
      <c r="AN79" s="50" t="n">
        <v>21</v>
      </c>
      <c r="AO79" s="50">
        <f>G79*0.027629154</f>
      </c>
      <c r="AP79" s="50">
        <f>G79*(1-0.027629154)</f>
      </c>
      <c r="AQ79" s="53" t="s">
        <v>84</v>
      </c>
      <c r="AV79" s="50">
        <f>ROUND(AW79+AX79,2)</f>
      </c>
      <c r="AW79" s="50">
        <f>ROUND(F79*AO79,2)</f>
      </c>
      <c r="AX79" s="50">
        <f>ROUND(F79*AP79,2)</f>
      </c>
      <c r="AY79" s="53" t="s">
        <v>239</v>
      </c>
      <c r="AZ79" s="53" t="s">
        <v>240</v>
      </c>
      <c r="BA79" s="32" t="s">
        <v>57</v>
      </c>
      <c r="BC79" s="50">
        <f>AW79+AX79</f>
      </c>
      <c r="BD79" s="50">
        <f>G79/(100-BE79)*100</f>
      </c>
      <c r="BE79" s="50" t="n">
        <v>0</v>
      </c>
      <c r="BF79" s="50">
        <f>79</f>
      </c>
      <c r="BH79" s="50">
        <f>F79*AO79</f>
      </c>
      <c r="BI79" s="50">
        <f>F79*AP79</f>
      </c>
      <c r="BJ79" s="50">
        <f>F79*G79</f>
      </c>
      <c r="BK79" s="53" t="s">
        <v>58</v>
      </c>
      <c r="BL79" s="50" t="n">
        <v>766</v>
      </c>
      <c r="BW79" s="50" t="n">
        <v>21</v>
      </c>
      <c r="BX79" s="16" t="s">
        <v>238</v>
      </c>
    </row>
    <row r="80" customHeight="true" ht="13.5">
      <c r="A80" s="54"/>
      <c r="C80" s="55" t="s">
        <v>241</v>
      </c>
      <c r="D80" s="56"/>
      <c r="E80" s="56"/>
      <c r="F80" s="56"/>
      <c r="G80" s="57"/>
      <c r="H80" s="56"/>
      <c r="I80" s="56"/>
      <c r="J80" s="56"/>
      <c r="K80" s="58"/>
    </row>
    <row r="81">
      <c r="A81" s="10" t="s">
        <v>242</v>
      </c>
      <c r="B81" s="11" t="s">
        <v>243</v>
      </c>
      <c r="C81" s="16" t="s">
        <v>244</v>
      </c>
      <c r="D81" s="11"/>
      <c r="E81" s="11" t="s">
        <v>53</v>
      </c>
      <c r="F81" s="50" t="n">
        <v>3</v>
      </c>
      <c r="G81" s="51" t="n">
        <v>0</v>
      </c>
      <c r="H81" s="50">
        <f>ROUND(F81*AO81,2)</f>
      </c>
      <c r="I81" s="50">
        <f>ROUND(F81*AP81,2)</f>
      </c>
      <c r="J81" s="50">
        <f>ROUND(F81*G81,2)</f>
      </c>
      <c r="K81" s="52" t="s">
        <v>54</v>
      </c>
      <c r="Z81" s="50">
        <f>ROUND(IF(AQ81="5",BJ81,0),2)</f>
      </c>
      <c r="AB81" s="50">
        <f>ROUND(IF(AQ81="1",BH81,0),2)</f>
      </c>
      <c r="AC81" s="50">
        <f>ROUND(IF(AQ81="1",BI81,0),2)</f>
      </c>
      <c r="AD81" s="50">
        <f>ROUND(IF(AQ81="7",BH81,0),2)</f>
      </c>
      <c r="AE81" s="50">
        <f>ROUND(IF(AQ81="7",BI81,0),2)</f>
      </c>
      <c r="AF81" s="50">
        <f>ROUND(IF(AQ81="2",BH81,0),2)</f>
      </c>
      <c r="AG81" s="50">
        <f>ROUND(IF(AQ81="2",BI81,0),2)</f>
      </c>
      <c r="AH81" s="50">
        <f>ROUND(IF(AQ81="0",BJ81,0),2)</f>
      </c>
      <c r="AI81" s="32" t="s">
        <v>47</v>
      </c>
      <c r="AJ81" s="50">
        <f>IF(AN81=0,J81,0)</f>
      </c>
      <c r="AK81" s="50">
        <f>IF(AN81=12,J81,0)</f>
      </c>
      <c r="AL81" s="50">
        <f>IF(AN81=21,J81,0)</f>
      </c>
      <c r="AN81" s="50" t="n">
        <v>21</v>
      </c>
      <c r="AO81" s="50">
        <f>G81*0</f>
      </c>
      <c r="AP81" s="50">
        <f>G81*(1-0)</f>
      </c>
      <c r="AQ81" s="53" t="s">
        <v>84</v>
      </c>
      <c r="AV81" s="50">
        <f>ROUND(AW81+AX81,2)</f>
      </c>
      <c r="AW81" s="50">
        <f>ROUND(F81*AO81,2)</f>
      </c>
      <c r="AX81" s="50">
        <f>ROUND(F81*AP81,2)</f>
      </c>
      <c r="AY81" s="53" t="s">
        <v>239</v>
      </c>
      <c r="AZ81" s="53" t="s">
        <v>240</v>
      </c>
      <c r="BA81" s="32" t="s">
        <v>57</v>
      </c>
      <c r="BC81" s="50">
        <f>AW81+AX81</f>
      </c>
      <c r="BD81" s="50">
        <f>G81/(100-BE81)*100</f>
      </c>
      <c r="BE81" s="50" t="n">
        <v>0</v>
      </c>
      <c r="BF81" s="50">
        <f>81</f>
      </c>
      <c r="BH81" s="50">
        <f>F81*AO81</f>
      </c>
      <c r="BI81" s="50">
        <f>F81*AP81</f>
      </c>
      <c r="BJ81" s="50">
        <f>F81*G81</f>
      </c>
      <c r="BK81" s="53" t="s">
        <v>58</v>
      </c>
      <c r="BL81" s="50" t="n">
        <v>766</v>
      </c>
      <c r="BW81" s="50" t="n">
        <v>21</v>
      </c>
      <c r="BX81" s="16" t="s">
        <v>244</v>
      </c>
    </row>
    <row r="82">
      <c r="A82" s="10" t="s">
        <v>245</v>
      </c>
      <c r="B82" s="11" t="s">
        <v>246</v>
      </c>
      <c r="C82" s="16" t="s">
        <v>247</v>
      </c>
      <c r="D82" s="11"/>
      <c r="E82" s="11" t="s">
        <v>53</v>
      </c>
      <c r="F82" s="50" t="n">
        <v>9</v>
      </c>
      <c r="G82" s="51" t="n">
        <v>0</v>
      </c>
      <c r="H82" s="50">
        <f>ROUND(F82*AO82,2)</f>
      </c>
      <c r="I82" s="50">
        <f>ROUND(F82*AP82,2)</f>
      </c>
      <c r="J82" s="50">
        <f>ROUND(F82*G82,2)</f>
      </c>
      <c r="K82" s="52" t="s">
        <v>54</v>
      </c>
      <c r="Z82" s="50">
        <f>ROUND(IF(AQ82="5",BJ82,0),2)</f>
      </c>
      <c r="AB82" s="50">
        <f>ROUND(IF(AQ82="1",BH82,0),2)</f>
      </c>
      <c r="AC82" s="50">
        <f>ROUND(IF(AQ82="1",BI82,0),2)</f>
      </c>
      <c r="AD82" s="50">
        <f>ROUND(IF(AQ82="7",BH82,0),2)</f>
      </c>
      <c r="AE82" s="50">
        <f>ROUND(IF(AQ82="7",BI82,0),2)</f>
      </c>
      <c r="AF82" s="50">
        <f>ROUND(IF(AQ82="2",BH82,0),2)</f>
      </c>
      <c r="AG82" s="50">
        <f>ROUND(IF(AQ82="2",BI82,0),2)</f>
      </c>
      <c r="AH82" s="50">
        <f>ROUND(IF(AQ82="0",BJ82,0),2)</f>
      </c>
      <c r="AI82" s="32" t="s">
        <v>47</v>
      </c>
      <c r="AJ82" s="50">
        <f>IF(AN82=0,J82,0)</f>
      </c>
      <c r="AK82" s="50">
        <f>IF(AN82=12,J82,0)</f>
      </c>
      <c r="AL82" s="50">
        <f>IF(AN82=21,J82,0)</f>
      </c>
      <c r="AN82" s="50" t="n">
        <v>21</v>
      </c>
      <c r="AO82" s="50">
        <f>G82*0</f>
      </c>
      <c r="AP82" s="50">
        <f>G82*(1-0)</f>
      </c>
      <c r="AQ82" s="53" t="s">
        <v>84</v>
      </c>
      <c r="AV82" s="50">
        <f>ROUND(AW82+AX82,2)</f>
      </c>
      <c r="AW82" s="50">
        <f>ROUND(F82*AO82,2)</f>
      </c>
      <c r="AX82" s="50">
        <f>ROUND(F82*AP82,2)</f>
      </c>
      <c r="AY82" s="53" t="s">
        <v>239</v>
      </c>
      <c r="AZ82" s="53" t="s">
        <v>240</v>
      </c>
      <c r="BA82" s="32" t="s">
        <v>57</v>
      </c>
      <c r="BC82" s="50">
        <f>AW82+AX82</f>
      </c>
      <c r="BD82" s="50">
        <f>G82/(100-BE82)*100</f>
      </c>
      <c r="BE82" s="50" t="n">
        <v>0</v>
      </c>
      <c r="BF82" s="50">
        <f>82</f>
      </c>
      <c r="BH82" s="50">
        <f>F82*AO82</f>
      </c>
      <c r="BI82" s="50">
        <f>F82*AP82</f>
      </c>
      <c r="BJ82" s="50">
        <f>F82*G82</f>
      </c>
      <c r="BK82" s="53" t="s">
        <v>58</v>
      </c>
      <c r="BL82" s="50" t="n">
        <v>766</v>
      </c>
      <c r="BW82" s="50" t="n">
        <v>21</v>
      </c>
      <c r="BX82" s="16" t="s">
        <v>247</v>
      </c>
    </row>
    <row r="83">
      <c r="A83" s="10" t="s">
        <v>248</v>
      </c>
      <c r="B83" s="11" t="s">
        <v>249</v>
      </c>
      <c r="C83" s="16" t="s">
        <v>250</v>
      </c>
      <c r="D83" s="11"/>
      <c r="E83" s="11" t="s">
        <v>53</v>
      </c>
      <c r="F83" s="50" t="n">
        <v>3</v>
      </c>
      <c r="G83" s="51" t="n">
        <v>0</v>
      </c>
      <c r="H83" s="50">
        <f>ROUND(F83*AO83,2)</f>
      </c>
      <c r="I83" s="50">
        <f>ROUND(F83*AP83,2)</f>
      </c>
      <c r="J83" s="50">
        <f>ROUND(F83*G83,2)</f>
      </c>
      <c r="K83" s="52" t="s">
        <v>54</v>
      </c>
      <c r="Z83" s="50">
        <f>ROUND(IF(AQ83="5",BJ83,0),2)</f>
      </c>
      <c r="AB83" s="50">
        <f>ROUND(IF(AQ83="1",BH83,0),2)</f>
      </c>
      <c r="AC83" s="50">
        <f>ROUND(IF(AQ83="1",BI83,0),2)</f>
      </c>
      <c r="AD83" s="50">
        <f>ROUND(IF(AQ83="7",BH83,0),2)</f>
      </c>
      <c r="AE83" s="50">
        <f>ROUND(IF(AQ83="7",BI83,0),2)</f>
      </c>
      <c r="AF83" s="50">
        <f>ROUND(IF(AQ83="2",BH83,0),2)</f>
      </c>
      <c r="AG83" s="50">
        <f>ROUND(IF(AQ83="2",BI83,0),2)</f>
      </c>
      <c r="AH83" s="50">
        <f>ROUND(IF(AQ83="0",BJ83,0),2)</f>
      </c>
      <c r="AI83" s="32" t="s">
        <v>47</v>
      </c>
      <c r="AJ83" s="50">
        <f>IF(AN83=0,J83,0)</f>
      </c>
      <c r="AK83" s="50">
        <f>IF(AN83=12,J83,0)</f>
      </c>
      <c r="AL83" s="50">
        <f>IF(AN83=21,J83,0)</f>
      </c>
      <c r="AN83" s="50" t="n">
        <v>21</v>
      </c>
      <c r="AO83" s="50">
        <f>G83*0</f>
      </c>
      <c r="AP83" s="50">
        <f>G83*(1-0)</f>
      </c>
      <c r="AQ83" s="53" t="s">
        <v>84</v>
      </c>
      <c r="AV83" s="50">
        <f>ROUND(AW83+AX83,2)</f>
      </c>
      <c r="AW83" s="50">
        <f>ROUND(F83*AO83,2)</f>
      </c>
      <c r="AX83" s="50">
        <f>ROUND(F83*AP83,2)</f>
      </c>
      <c r="AY83" s="53" t="s">
        <v>239</v>
      </c>
      <c r="AZ83" s="53" t="s">
        <v>240</v>
      </c>
      <c r="BA83" s="32" t="s">
        <v>57</v>
      </c>
      <c r="BC83" s="50">
        <f>AW83+AX83</f>
      </c>
      <c r="BD83" s="50">
        <f>G83/(100-BE83)*100</f>
      </c>
      <c r="BE83" s="50" t="n">
        <v>0</v>
      </c>
      <c r="BF83" s="50">
        <f>83</f>
      </c>
      <c r="BH83" s="50">
        <f>F83*AO83</f>
      </c>
      <c r="BI83" s="50">
        <f>F83*AP83</f>
      </c>
      <c r="BJ83" s="50">
        <f>F83*G83</f>
      </c>
      <c r="BK83" s="53" t="s">
        <v>58</v>
      </c>
      <c r="BL83" s="50" t="n">
        <v>766</v>
      </c>
      <c r="BW83" s="50" t="n">
        <v>21</v>
      </c>
      <c r="BX83" s="16" t="s">
        <v>250</v>
      </c>
    </row>
    <row r="84">
      <c r="A84" s="10" t="s">
        <v>251</v>
      </c>
      <c r="B84" s="11" t="s">
        <v>252</v>
      </c>
      <c r="C84" s="16" t="s">
        <v>253</v>
      </c>
      <c r="D84" s="11"/>
      <c r="E84" s="11" t="s">
        <v>53</v>
      </c>
      <c r="F84" s="50" t="n">
        <v>3</v>
      </c>
      <c r="G84" s="51" t="n">
        <v>0</v>
      </c>
      <c r="H84" s="50">
        <f>ROUND(F84*AO84,2)</f>
      </c>
      <c r="I84" s="50">
        <f>ROUND(F84*AP84,2)</f>
      </c>
      <c r="J84" s="50">
        <f>ROUND(F84*G84,2)</f>
      </c>
      <c r="K84" s="52" t="s">
        <v>54</v>
      </c>
      <c r="Z84" s="50">
        <f>ROUND(IF(AQ84="5",BJ84,0),2)</f>
      </c>
      <c r="AB84" s="50">
        <f>ROUND(IF(AQ84="1",BH84,0),2)</f>
      </c>
      <c r="AC84" s="50">
        <f>ROUND(IF(AQ84="1",BI84,0),2)</f>
      </c>
      <c r="AD84" s="50">
        <f>ROUND(IF(AQ84="7",BH84,0),2)</f>
      </c>
      <c r="AE84" s="50">
        <f>ROUND(IF(AQ84="7",BI84,0),2)</f>
      </c>
      <c r="AF84" s="50">
        <f>ROUND(IF(AQ84="2",BH84,0),2)</f>
      </c>
      <c r="AG84" s="50">
        <f>ROUND(IF(AQ84="2",BI84,0),2)</f>
      </c>
      <c r="AH84" s="50">
        <f>ROUND(IF(AQ84="0",BJ84,0),2)</f>
      </c>
      <c r="AI84" s="32" t="s">
        <v>47</v>
      </c>
      <c r="AJ84" s="50">
        <f>IF(AN84=0,J84,0)</f>
      </c>
      <c r="AK84" s="50">
        <f>IF(AN84=12,J84,0)</f>
      </c>
      <c r="AL84" s="50">
        <f>IF(AN84=21,J84,0)</f>
      </c>
      <c r="AN84" s="50" t="n">
        <v>21</v>
      </c>
      <c r="AO84" s="50">
        <f>G84*0</f>
      </c>
      <c r="AP84" s="50">
        <f>G84*(1-0)</f>
      </c>
      <c r="AQ84" s="53" t="s">
        <v>62</v>
      </c>
      <c r="AV84" s="50">
        <f>ROUND(AW84+AX84,2)</f>
      </c>
      <c r="AW84" s="50">
        <f>ROUND(F84*AO84,2)</f>
      </c>
      <c r="AX84" s="50">
        <f>ROUND(F84*AP84,2)</f>
      </c>
      <c r="AY84" s="53" t="s">
        <v>239</v>
      </c>
      <c r="AZ84" s="53" t="s">
        <v>240</v>
      </c>
      <c r="BA84" s="32" t="s">
        <v>57</v>
      </c>
      <c r="BC84" s="50">
        <f>AW84+AX84</f>
      </c>
      <c r="BD84" s="50">
        <f>G84/(100-BE84)*100</f>
      </c>
      <c r="BE84" s="50" t="n">
        <v>0</v>
      </c>
      <c r="BF84" s="50">
        <f>84</f>
      </c>
      <c r="BH84" s="50">
        <f>F84*AO84</f>
      </c>
      <c r="BI84" s="50">
        <f>F84*AP84</f>
      </c>
      <c r="BJ84" s="50">
        <f>F84*G84</f>
      </c>
      <c r="BK84" s="53" t="s">
        <v>58</v>
      </c>
      <c r="BL84" s="50" t="n">
        <v>766</v>
      </c>
      <c r="BW84" s="50" t="n">
        <v>21</v>
      </c>
      <c r="BX84" s="16" t="s">
        <v>253</v>
      </c>
    </row>
    <row r="85">
      <c r="A85" s="10" t="s">
        <v>254</v>
      </c>
      <c r="B85" s="11" t="s">
        <v>255</v>
      </c>
      <c r="C85" s="16" t="s">
        <v>256</v>
      </c>
      <c r="D85" s="11"/>
      <c r="E85" s="11" t="s">
        <v>53</v>
      </c>
      <c r="F85" s="50" t="n">
        <v>3</v>
      </c>
      <c r="G85" s="51" t="n">
        <v>0</v>
      </c>
      <c r="H85" s="50">
        <f>ROUND(F85*AO85,2)</f>
      </c>
      <c r="I85" s="50">
        <f>ROUND(F85*AP85,2)</f>
      </c>
      <c r="J85" s="50">
        <f>ROUND(F85*G85,2)</f>
      </c>
      <c r="K85" s="52" t="s">
        <v>54</v>
      </c>
      <c r="Z85" s="50">
        <f>ROUND(IF(AQ85="5",BJ85,0),2)</f>
      </c>
      <c r="AB85" s="50">
        <f>ROUND(IF(AQ85="1",BH85,0),2)</f>
      </c>
      <c r="AC85" s="50">
        <f>ROUND(IF(AQ85="1",BI85,0),2)</f>
      </c>
      <c r="AD85" s="50">
        <f>ROUND(IF(AQ85="7",BH85,0),2)</f>
      </c>
      <c r="AE85" s="50">
        <f>ROUND(IF(AQ85="7",BI85,0),2)</f>
      </c>
      <c r="AF85" s="50">
        <f>ROUND(IF(AQ85="2",BH85,0),2)</f>
      </c>
      <c r="AG85" s="50">
        <f>ROUND(IF(AQ85="2",BI85,0),2)</f>
      </c>
      <c r="AH85" s="50">
        <f>ROUND(IF(AQ85="0",BJ85,0),2)</f>
      </c>
      <c r="AI85" s="32" t="s">
        <v>47</v>
      </c>
      <c r="AJ85" s="50">
        <f>IF(AN85=0,J85,0)</f>
      </c>
      <c r="AK85" s="50">
        <f>IF(AN85=12,J85,0)</f>
      </c>
      <c r="AL85" s="50">
        <f>IF(AN85=21,J85,0)</f>
      </c>
      <c r="AN85" s="50" t="n">
        <v>21</v>
      </c>
      <c r="AO85" s="50">
        <f>G85*1</f>
      </c>
      <c r="AP85" s="50">
        <f>G85*(1-1)</f>
      </c>
      <c r="AQ85" s="53" t="s">
        <v>84</v>
      </c>
      <c r="AV85" s="50">
        <f>ROUND(AW85+AX85,2)</f>
      </c>
      <c r="AW85" s="50">
        <f>ROUND(F85*AO85,2)</f>
      </c>
      <c r="AX85" s="50">
        <f>ROUND(F85*AP85,2)</f>
      </c>
      <c r="AY85" s="53" t="s">
        <v>239</v>
      </c>
      <c r="AZ85" s="53" t="s">
        <v>240</v>
      </c>
      <c r="BA85" s="32" t="s">
        <v>57</v>
      </c>
      <c r="BC85" s="50">
        <f>AW85+AX85</f>
      </c>
      <c r="BD85" s="50">
        <f>G85/(100-BE85)*100</f>
      </c>
      <c r="BE85" s="50" t="n">
        <v>0</v>
      </c>
      <c r="BF85" s="50">
        <f>85</f>
      </c>
      <c r="BH85" s="50">
        <f>F85*AO85</f>
      </c>
      <c r="BI85" s="50">
        <f>F85*AP85</f>
      </c>
      <c r="BJ85" s="50">
        <f>F85*G85</f>
      </c>
      <c r="BK85" s="53" t="s">
        <v>73</v>
      </c>
      <c r="BL85" s="50" t="n">
        <v>766</v>
      </c>
      <c r="BW85" s="50" t="n">
        <v>21</v>
      </c>
      <c r="BX85" s="16" t="s">
        <v>256</v>
      </c>
    </row>
    <row r="86">
      <c r="A86" s="10" t="s">
        <v>257</v>
      </c>
      <c r="B86" s="11" t="s">
        <v>258</v>
      </c>
      <c r="C86" s="16" t="s">
        <v>259</v>
      </c>
      <c r="D86" s="11"/>
      <c r="E86" s="11" t="s">
        <v>53</v>
      </c>
      <c r="F86" s="50" t="n">
        <v>3</v>
      </c>
      <c r="G86" s="51" t="n">
        <v>0</v>
      </c>
      <c r="H86" s="50">
        <f>ROUND(F86*AO86,2)</f>
      </c>
      <c r="I86" s="50">
        <f>ROUND(F86*AP86,2)</f>
      </c>
      <c r="J86" s="50">
        <f>ROUND(F86*G86,2)</f>
      </c>
      <c r="K86" s="52" t="s">
        <v>54</v>
      </c>
      <c r="Z86" s="50">
        <f>ROUND(IF(AQ86="5",BJ86,0),2)</f>
      </c>
      <c r="AB86" s="50">
        <f>ROUND(IF(AQ86="1",BH86,0),2)</f>
      </c>
      <c r="AC86" s="50">
        <f>ROUND(IF(AQ86="1",BI86,0),2)</f>
      </c>
      <c r="AD86" s="50">
        <f>ROUND(IF(AQ86="7",BH86,0),2)</f>
      </c>
      <c r="AE86" s="50">
        <f>ROUND(IF(AQ86="7",BI86,0),2)</f>
      </c>
      <c r="AF86" s="50">
        <f>ROUND(IF(AQ86="2",BH86,0),2)</f>
      </c>
      <c r="AG86" s="50">
        <f>ROUND(IF(AQ86="2",BI86,0),2)</f>
      </c>
      <c r="AH86" s="50">
        <f>ROUND(IF(AQ86="0",BJ86,0),2)</f>
      </c>
      <c r="AI86" s="32" t="s">
        <v>47</v>
      </c>
      <c r="AJ86" s="50">
        <f>IF(AN86=0,J86,0)</f>
      </c>
      <c r="AK86" s="50">
        <f>IF(AN86=12,J86,0)</f>
      </c>
      <c r="AL86" s="50">
        <f>IF(AN86=21,J86,0)</f>
      </c>
      <c r="AN86" s="50" t="n">
        <v>21</v>
      </c>
      <c r="AO86" s="50">
        <f>G86*1</f>
      </c>
      <c r="AP86" s="50">
        <f>G86*(1-1)</f>
      </c>
      <c r="AQ86" s="53" t="s">
        <v>84</v>
      </c>
      <c r="AV86" s="50">
        <f>ROUND(AW86+AX86,2)</f>
      </c>
      <c r="AW86" s="50">
        <f>ROUND(F86*AO86,2)</f>
      </c>
      <c r="AX86" s="50">
        <f>ROUND(F86*AP86,2)</f>
      </c>
      <c r="AY86" s="53" t="s">
        <v>239</v>
      </c>
      <c r="AZ86" s="53" t="s">
        <v>240</v>
      </c>
      <c r="BA86" s="32" t="s">
        <v>57</v>
      </c>
      <c r="BC86" s="50">
        <f>AW86+AX86</f>
      </c>
      <c r="BD86" s="50">
        <f>G86/(100-BE86)*100</f>
      </c>
      <c r="BE86" s="50" t="n">
        <v>0</v>
      </c>
      <c r="BF86" s="50">
        <f>86</f>
      </c>
      <c r="BH86" s="50">
        <f>F86*AO86</f>
      </c>
      <c r="BI86" s="50">
        <f>F86*AP86</f>
      </c>
      <c r="BJ86" s="50">
        <f>F86*G86</f>
      </c>
      <c r="BK86" s="53" t="s">
        <v>73</v>
      </c>
      <c r="BL86" s="50" t="n">
        <v>766</v>
      </c>
      <c r="BW86" s="50" t="n">
        <v>21</v>
      </c>
      <c r="BX86" s="16" t="s">
        <v>259</v>
      </c>
    </row>
    <row r="87">
      <c r="A87" s="10" t="s">
        <v>260</v>
      </c>
      <c r="B87" s="11" t="s">
        <v>261</v>
      </c>
      <c r="C87" s="16" t="s">
        <v>262</v>
      </c>
      <c r="D87" s="11"/>
      <c r="E87" s="11" t="s">
        <v>53</v>
      </c>
      <c r="F87" s="50" t="n">
        <v>2</v>
      </c>
      <c r="G87" s="51" t="n">
        <v>0</v>
      </c>
      <c r="H87" s="50">
        <f>ROUND(F87*AO87,2)</f>
      </c>
      <c r="I87" s="50">
        <f>ROUND(F87*AP87,2)</f>
      </c>
      <c r="J87" s="50">
        <f>ROUND(F87*G87,2)</f>
      </c>
      <c r="K87" s="52" t="s">
        <v>54</v>
      </c>
      <c r="Z87" s="50">
        <f>ROUND(IF(AQ87="5",BJ87,0),2)</f>
      </c>
      <c r="AB87" s="50">
        <f>ROUND(IF(AQ87="1",BH87,0),2)</f>
      </c>
      <c r="AC87" s="50">
        <f>ROUND(IF(AQ87="1",BI87,0),2)</f>
      </c>
      <c r="AD87" s="50">
        <f>ROUND(IF(AQ87="7",BH87,0),2)</f>
      </c>
      <c r="AE87" s="50">
        <f>ROUND(IF(AQ87="7",BI87,0),2)</f>
      </c>
      <c r="AF87" s="50">
        <f>ROUND(IF(AQ87="2",BH87,0),2)</f>
      </c>
      <c r="AG87" s="50">
        <f>ROUND(IF(AQ87="2",BI87,0),2)</f>
      </c>
      <c r="AH87" s="50">
        <f>ROUND(IF(AQ87="0",BJ87,0),2)</f>
      </c>
      <c r="AI87" s="32" t="s">
        <v>47</v>
      </c>
      <c r="AJ87" s="50">
        <f>IF(AN87=0,J87,0)</f>
      </c>
      <c r="AK87" s="50">
        <f>IF(AN87=12,J87,0)</f>
      </c>
      <c r="AL87" s="50">
        <f>IF(AN87=21,J87,0)</f>
      </c>
      <c r="AN87" s="50" t="n">
        <v>21</v>
      </c>
      <c r="AO87" s="50">
        <f>G87*0.071544674</f>
      </c>
      <c r="AP87" s="50">
        <f>G87*(1-0.071544674)</f>
      </c>
      <c r="AQ87" s="53" t="s">
        <v>84</v>
      </c>
      <c r="AV87" s="50">
        <f>ROUND(AW87+AX87,2)</f>
      </c>
      <c r="AW87" s="50">
        <f>ROUND(F87*AO87,2)</f>
      </c>
      <c r="AX87" s="50">
        <f>ROUND(F87*AP87,2)</f>
      </c>
      <c r="AY87" s="53" t="s">
        <v>239</v>
      </c>
      <c r="AZ87" s="53" t="s">
        <v>240</v>
      </c>
      <c r="BA87" s="32" t="s">
        <v>57</v>
      </c>
      <c r="BC87" s="50">
        <f>AW87+AX87</f>
      </c>
      <c r="BD87" s="50">
        <f>G87/(100-BE87)*100</f>
      </c>
      <c r="BE87" s="50" t="n">
        <v>0</v>
      </c>
      <c r="BF87" s="50">
        <f>87</f>
      </c>
      <c r="BH87" s="50">
        <f>F87*AO87</f>
      </c>
      <c r="BI87" s="50">
        <f>F87*AP87</f>
      </c>
      <c r="BJ87" s="50">
        <f>F87*G87</f>
      </c>
      <c r="BK87" s="53" t="s">
        <v>58</v>
      </c>
      <c r="BL87" s="50" t="n">
        <v>766</v>
      </c>
      <c r="BW87" s="50" t="n">
        <v>21</v>
      </c>
      <c r="BX87" s="16" t="s">
        <v>262</v>
      </c>
    </row>
    <row r="88">
      <c r="A88" s="10" t="s">
        <v>263</v>
      </c>
      <c r="B88" s="11" t="s">
        <v>264</v>
      </c>
      <c r="C88" s="16" t="s">
        <v>265</v>
      </c>
      <c r="D88" s="11"/>
      <c r="E88" s="11" t="s">
        <v>65</v>
      </c>
      <c r="F88" s="50" t="n">
        <v>1.98</v>
      </c>
      <c r="G88" s="51" t="n">
        <v>0</v>
      </c>
      <c r="H88" s="50">
        <f>ROUND(F88*AO88,2)</f>
      </c>
      <c r="I88" s="50">
        <f>ROUND(F88*AP88,2)</f>
      </c>
      <c r="J88" s="50">
        <f>ROUND(F88*G88,2)</f>
      </c>
      <c r="K88" s="52" t="s">
        <v>54</v>
      </c>
      <c r="Z88" s="50">
        <f>ROUND(IF(AQ88="5",BJ88,0),2)</f>
      </c>
      <c r="AB88" s="50">
        <f>ROUND(IF(AQ88="1",BH88,0),2)</f>
      </c>
      <c r="AC88" s="50">
        <f>ROUND(IF(AQ88="1",BI88,0),2)</f>
      </c>
      <c r="AD88" s="50">
        <f>ROUND(IF(AQ88="7",BH88,0),2)</f>
      </c>
      <c r="AE88" s="50">
        <f>ROUND(IF(AQ88="7",BI88,0),2)</f>
      </c>
      <c r="AF88" s="50">
        <f>ROUND(IF(AQ88="2",BH88,0),2)</f>
      </c>
      <c r="AG88" s="50">
        <f>ROUND(IF(AQ88="2",BI88,0),2)</f>
      </c>
      <c r="AH88" s="50">
        <f>ROUND(IF(AQ88="0",BJ88,0),2)</f>
      </c>
      <c r="AI88" s="32" t="s">
        <v>47</v>
      </c>
      <c r="AJ88" s="50">
        <f>IF(AN88=0,J88,0)</f>
      </c>
      <c r="AK88" s="50">
        <f>IF(AN88=12,J88,0)</f>
      </c>
      <c r="AL88" s="50">
        <f>IF(AN88=21,J88,0)</f>
      </c>
      <c r="AN88" s="50" t="n">
        <v>21</v>
      </c>
      <c r="AO88" s="50">
        <f>G88*1</f>
      </c>
      <c r="AP88" s="50">
        <f>G88*(1-1)</f>
      </c>
      <c r="AQ88" s="53" t="s">
        <v>84</v>
      </c>
      <c r="AV88" s="50">
        <f>ROUND(AW88+AX88,2)</f>
      </c>
      <c r="AW88" s="50">
        <f>ROUND(F88*AO88,2)</f>
      </c>
      <c r="AX88" s="50">
        <f>ROUND(F88*AP88,2)</f>
      </c>
      <c r="AY88" s="53" t="s">
        <v>239</v>
      </c>
      <c r="AZ88" s="53" t="s">
        <v>240</v>
      </c>
      <c r="BA88" s="32" t="s">
        <v>57</v>
      </c>
      <c r="BC88" s="50">
        <f>AW88+AX88</f>
      </c>
      <c r="BD88" s="50">
        <f>G88/(100-BE88)*100</f>
      </c>
      <c r="BE88" s="50" t="n">
        <v>0</v>
      </c>
      <c r="BF88" s="50">
        <f>88</f>
      </c>
      <c r="BH88" s="50">
        <f>F88*AO88</f>
      </c>
      <c r="BI88" s="50">
        <f>F88*AP88</f>
      </c>
      <c r="BJ88" s="50">
        <f>F88*G88</f>
      </c>
      <c r="BK88" s="53" t="s">
        <v>73</v>
      </c>
      <c r="BL88" s="50" t="n">
        <v>766</v>
      </c>
      <c r="BW88" s="50" t="n">
        <v>21</v>
      </c>
      <c r="BX88" s="16" t="s">
        <v>265</v>
      </c>
    </row>
    <row r="89" ht="24.75">
      <c r="A89" s="10" t="s">
        <v>266</v>
      </c>
      <c r="B89" s="11" t="s">
        <v>267</v>
      </c>
      <c r="C89" s="16" t="s">
        <v>268</v>
      </c>
      <c r="D89" s="11"/>
      <c r="E89" s="11" t="s">
        <v>53</v>
      </c>
      <c r="F89" s="50" t="n">
        <v>1</v>
      </c>
      <c r="G89" s="51" t="n">
        <v>0</v>
      </c>
      <c r="H89" s="50">
        <f>ROUND(F89*AO89,2)</f>
      </c>
      <c r="I89" s="50">
        <f>ROUND(F89*AP89,2)</f>
      </c>
      <c r="J89" s="50">
        <f>ROUND(F89*G89,2)</f>
      </c>
      <c r="K89" s="52" t="s">
        <v>54</v>
      </c>
      <c r="Z89" s="50">
        <f>ROUND(IF(AQ89="5",BJ89,0),2)</f>
      </c>
      <c r="AB89" s="50">
        <f>ROUND(IF(AQ89="1",BH89,0),2)</f>
      </c>
      <c r="AC89" s="50">
        <f>ROUND(IF(AQ89="1",BI89,0),2)</f>
      </c>
      <c r="AD89" s="50">
        <f>ROUND(IF(AQ89="7",BH89,0),2)</f>
      </c>
      <c r="AE89" s="50">
        <f>ROUND(IF(AQ89="7",BI89,0),2)</f>
      </c>
      <c r="AF89" s="50">
        <f>ROUND(IF(AQ89="2",BH89,0),2)</f>
      </c>
      <c r="AG89" s="50">
        <f>ROUND(IF(AQ89="2",BI89,0),2)</f>
      </c>
      <c r="AH89" s="50">
        <f>ROUND(IF(AQ89="0",BJ89,0),2)</f>
      </c>
      <c r="AI89" s="32" t="s">
        <v>47</v>
      </c>
      <c r="AJ89" s="50">
        <f>IF(AN89=0,J89,0)</f>
      </c>
      <c r="AK89" s="50">
        <f>IF(AN89=12,J89,0)</f>
      </c>
      <c r="AL89" s="50">
        <f>IF(AN89=21,J89,0)</f>
      </c>
      <c r="AN89" s="50" t="n">
        <v>21</v>
      </c>
      <c r="AO89" s="50">
        <f>G89*1</f>
      </c>
      <c r="AP89" s="50">
        <f>G89*(1-1)</f>
      </c>
      <c r="AQ89" s="53" t="s">
        <v>84</v>
      </c>
      <c r="AV89" s="50">
        <f>ROUND(AW89+AX89,2)</f>
      </c>
      <c r="AW89" s="50">
        <f>ROUND(F89*AO89,2)</f>
      </c>
      <c r="AX89" s="50">
        <f>ROUND(F89*AP89,2)</f>
      </c>
      <c r="AY89" s="53" t="s">
        <v>239</v>
      </c>
      <c r="AZ89" s="53" t="s">
        <v>240</v>
      </c>
      <c r="BA89" s="32" t="s">
        <v>57</v>
      </c>
      <c r="BC89" s="50">
        <f>AW89+AX89</f>
      </c>
      <c r="BD89" s="50">
        <f>G89/(100-BE89)*100</f>
      </c>
      <c r="BE89" s="50" t="n">
        <v>0</v>
      </c>
      <c r="BF89" s="50">
        <f>89</f>
      </c>
      <c r="BH89" s="50">
        <f>F89*AO89</f>
      </c>
      <c r="BI89" s="50">
        <f>F89*AP89</f>
      </c>
      <c r="BJ89" s="50">
        <f>F89*G89</f>
      </c>
      <c r="BK89" s="53" t="s">
        <v>73</v>
      </c>
      <c r="BL89" s="50" t="n">
        <v>766</v>
      </c>
      <c r="BW89" s="50" t="n">
        <v>21</v>
      </c>
      <c r="BX89" s="16" t="s">
        <v>268</v>
      </c>
    </row>
    <row r="90">
      <c r="A90" s="10" t="s">
        <v>269</v>
      </c>
      <c r="B90" s="11" t="s">
        <v>270</v>
      </c>
      <c r="C90" s="16" t="s">
        <v>271</v>
      </c>
      <c r="D90" s="11"/>
      <c r="E90" s="11" t="s">
        <v>272</v>
      </c>
      <c r="F90" s="50" t="n">
        <v>0.381</v>
      </c>
      <c r="G90" s="51" t="n">
        <v>0</v>
      </c>
      <c r="H90" s="50">
        <f>ROUND(F90*AO90,2)</f>
      </c>
      <c r="I90" s="50">
        <f>ROUND(F90*AP90,2)</f>
      </c>
      <c r="J90" s="50">
        <f>ROUND(F90*G90,2)</f>
      </c>
      <c r="K90" s="52" t="s">
        <v>54</v>
      </c>
      <c r="Z90" s="50">
        <f>ROUND(IF(AQ90="5",BJ90,0),2)</f>
      </c>
      <c r="AB90" s="50">
        <f>ROUND(IF(AQ90="1",BH90,0),2)</f>
      </c>
      <c r="AC90" s="50">
        <f>ROUND(IF(AQ90="1",BI90,0),2)</f>
      </c>
      <c r="AD90" s="50">
        <f>ROUND(IF(AQ90="7",BH90,0),2)</f>
      </c>
      <c r="AE90" s="50">
        <f>ROUND(IF(AQ90="7",BI90,0),2)</f>
      </c>
      <c r="AF90" s="50">
        <f>ROUND(IF(AQ90="2",BH90,0),2)</f>
      </c>
      <c r="AG90" s="50">
        <f>ROUND(IF(AQ90="2",BI90,0),2)</f>
      </c>
      <c r="AH90" s="50">
        <f>ROUND(IF(AQ90="0",BJ90,0),2)</f>
      </c>
      <c r="AI90" s="32" t="s">
        <v>47</v>
      </c>
      <c r="AJ90" s="50">
        <f>IF(AN90=0,J90,0)</f>
      </c>
      <c r="AK90" s="50">
        <f>IF(AN90=12,J90,0)</f>
      </c>
      <c r="AL90" s="50">
        <f>IF(AN90=21,J90,0)</f>
      </c>
      <c r="AN90" s="50" t="n">
        <v>21</v>
      </c>
      <c r="AO90" s="50">
        <f>G90*0</f>
      </c>
      <c r="AP90" s="50">
        <f>G90*(1-0)</f>
      </c>
      <c r="AQ90" s="53" t="s">
        <v>74</v>
      </c>
      <c r="AV90" s="50">
        <f>ROUND(AW90+AX90,2)</f>
      </c>
      <c r="AW90" s="50">
        <f>ROUND(F90*AO90,2)</f>
      </c>
      <c r="AX90" s="50">
        <f>ROUND(F90*AP90,2)</f>
      </c>
      <c r="AY90" s="53" t="s">
        <v>239</v>
      </c>
      <c r="AZ90" s="53" t="s">
        <v>240</v>
      </c>
      <c r="BA90" s="32" t="s">
        <v>57</v>
      </c>
      <c r="BC90" s="50">
        <f>AW90+AX90</f>
      </c>
      <c r="BD90" s="50">
        <f>G90/(100-BE90)*100</f>
      </c>
      <c r="BE90" s="50" t="n">
        <v>0</v>
      </c>
      <c r="BF90" s="50">
        <f>90</f>
      </c>
      <c r="BH90" s="50">
        <f>F90*AO90</f>
      </c>
      <c r="BI90" s="50">
        <f>F90*AP90</f>
      </c>
      <c r="BJ90" s="50">
        <f>F90*G90</f>
      </c>
      <c r="BK90" s="53" t="s">
        <v>58</v>
      </c>
      <c r="BL90" s="50" t="n">
        <v>766</v>
      </c>
      <c r="BW90" s="50" t="n">
        <v>21</v>
      </c>
      <c r="BX90" s="16" t="s">
        <v>271</v>
      </c>
    </row>
    <row r="91">
      <c r="A91" s="59" t="s">
        <v>47</v>
      </c>
      <c r="B91" s="60" t="s">
        <v>273</v>
      </c>
      <c r="C91" s="61" t="s">
        <v>274</v>
      </c>
      <c r="D91" s="60"/>
      <c r="E91" s="62" t="s">
        <v>4</v>
      </c>
      <c r="F91" s="62" t="s">
        <v>4</v>
      </c>
      <c r="G91" s="63" t="s">
        <v>4</v>
      </c>
      <c r="H91" s="2">
        <f>SUM(H92:H104)</f>
      </c>
      <c r="I91" s="2">
        <f>SUM(I92:I104)</f>
      </c>
      <c r="J91" s="2">
        <f>SUM(J92:J104)</f>
      </c>
      <c r="K91" s="64" t="s">
        <v>47</v>
      </c>
      <c r="AI91" s="32" t="s">
        <v>47</v>
      </c>
      <c r="AS91" s="2">
        <f>SUM(AJ92:AJ104)</f>
      </c>
      <c r="AT91" s="2">
        <f>SUM(AK92:AK104)</f>
      </c>
      <c r="AU91" s="2">
        <f>SUM(AL92:AL104)</f>
      </c>
    </row>
    <row r="92">
      <c r="A92" s="10" t="s">
        <v>275</v>
      </c>
      <c r="B92" s="11" t="s">
        <v>276</v>
      </c>
      <c r="C92" s="16" t="s">
        <v>277</v>
      </c>
      <c r="D92" s="11"/>
      <c r="E92" s="11" t="s">
        <v>65</v>
      </c>
      <c r="F92" s="50" t="n">
        <v>24.33</v>
      </c>
      <c r="G92" s="51" t="n">
        <v>0</v>
      </c>
      <c r="H92" s="50">
        <f>ROUND(F92*AO92,2)</f>
      </c>
      <c r="I92" s="50">
        <f>ROUND(F92*AP92,2)</f>
      </c>
      <c r="J92" s="50">
        <f>ROUND(F92*G92,2)</f>
      </c>
      <c r="K92" s="52" t="s">
        <v>54</v>
      </c>
      <c r="Z92" s="50">
        <f>ROUND(IF(AQ92="5",BJ92,0),2)</f>
      </c>
      <c r="AB92" s="50">
        <f>ROUND(IF(AQ92="1",BH92,0),2)</f>
      </c>
      <c r="AC92" s="50">
        <f>ROUND(IF(AQ92="1",BI92,0),2)</f>
      </c>
      <c r="AD92" s="50">
        <f>ROUND(IF(AQ92="7",BH92,0),2)</f>
      </c>
      <c r="AE92" s="50">
        <f>ROUND(IF(AQ92="7",BI92,0),2)</f>
      </c>
      <c r="AF92" s="50">
        <f>ROUND(IF(AQ92="2",BH92,0),2)</f>
      </c>
      <c r="AG92" s="50">
        <f>ROUND(IF(AQ92="2",BI92,0),2)</f>
      </c>
      <c r="AH92" s="50">
        <f>ROUND(IF(AQ92="0",BJ92,0),2)</f>
      </c>
      <c r="AI92" s="32" t="s">
        <v>47</v>
      </c>
      <c r="AJ92" s="50">
        <f>IF(AN92=0,J92,0)</f>
      </c>
      <c r="AK92" s="50">
        <f>IF(AN92=12,J92,0)</f>
      </c>
      <c r="AL92" s="50">
        <f>IF(AN92=21,J92,0)</f>
      </c>
      <c r="AN92" s="50" t="n">
        <v>21</v>
      </c>
      <c r="AO92" s="50">
        <f>G92*0</f>
      </c>
      <c r="AP92" s="50">
        <f>G92*(1-0)</f>
      </c>
      <c r="AQ92" s="53" t="s">
        <v>84</v>
      </c>
      <c r="AV92" s="50">
        <f>ROUND(AW92+AX92,2)</f>
      </c>
      <c r="AW92" s="50">
        <f>ROUND(F92*AO92,2)</f>
      </c>
      <c r="AX92" s="50">
        <f>ROUND(F92*AP92,2)</f>
      </c>
      <c r="AY92" s="53" t="s">
        <v>278</v>
      </c>
      <c r="AZ92" s="53" t="s">
        <v>279</v>
      </c>
      <c r="BA92" s="32" t="s">
        <v>57</v>
      </c>
      <c r="BC92" s="50">
        <f>AW92+AX92</f>
      </c>
      <c r="BD92" s="50">
        <f>G92/(100-BE92)*100</f>
      </c>
      <c r="BE92" s="50" t="n">
        <v>0</v>
      </c>
      <c r="BF92" s="50">
        <f>92</f>
      </c>
      <c r="BH92" s="50">
        <f>F92*AO92</f>
      </c>
      <c r="BI92" s="50">
        <f>F92*AP92</f>
      </c>
      <c r="BJ92" s="50">
        <f>F92*G92</f>
      </c>
      <c r="BK92" s="53" t="s">
        <v>58</v>
      </c>
      <c r="BL92" s="50" t="n">
        <v>771</v>
      </c>
      <c r="BW92" s="50" t="n">
        <v>21</v>
      </c>
      <c r="BX92" s="16" t="s">
        <v>277</v>
      </c>
    </row>
    <row r="93">
      <c r="A93" s="10" t="s">
        <v>280</v>
      </c>
      <c r="B93" s="11" t="s">
        <v>281</v>
      </c>
      <c r="C93" s="16" t="s">
        <v>282</v>
      </c>
      <c r="D93" s="11"/>
      <c r="E93" s="11" t="s">
        <v>65</v>
      </c>
      <c r="F93" s="50" t="n">
        <v>24.33</v>
      </c>
      <c r="G93" s="51" t="n">
        <v>0</v>
      </c>
      <c r="H93" s="50">
        <f>ROUND(F93*AO93,2)</f>
      </c>
      <c r="I93" s="50">
        <f>ROUND(F93*AP93,2)</f>
      </c>
      <c r="J93" s="50">
        <f>ROUND(F93*G93,2)</f>
      </c>
      <c r="K93" s="52" t="s">
        <v>54</v>
      </c>
      <c r="Z93" s="50">
        <f>ROUND(IF(AQ93="5",BJ93,0),2)</f>
      </c>
      <c r="AB93" s="50">
        <f>ROUND(IF(AQ93="1",BH93,0),2)</f>
      </c>
      <c r="AC93" s="50">
        <f>ROUND(IF(AQ93="1",BI93,0),2)</f>
      </c>
      <c r="AD93" s="50">
        <f>ROUND(IF(AQ93="7",BH93,0),2)</f>
      </c>
      <c r="AE93" s="50">
        <f>ROUND(IF(AQ93="7",BI93,0),2)</f>
      </c>
      <c r="AF93" s="50">
        <f>ROUND(IF(AQ93="2",BH93,0),2)</f>
      </c>
      <c r="AG93" s="50">
        <f>ROUND(IF(AQ93="2",BI93,0),2)</f>
      </c>
      <c r="AH93" s="50">
        <f>ROUND(IF(AQ93="0",BJ93,0),2)</f>
      </c>
      <c r="AI93" s="32" t="s">
        <v>47</v>
      </c>
      <c r="AJ93" s="50">
        <f>IF(AN93=0,J93,0)</f>
      </c>
      <c r="AK93" s="50">
        <f>IF(AN93=12,J93,0)</f>
      </c>
      <c r="AL93" s="50">
        <f>IF(AN93=21,J93,0)</f>
      </c>
      <c r="AN93" s="50" t="n">
        <v>21</v>
      </c>
      <c r="AO93" s="50">
        <f>G93*0</f>
      </c>
      <c r="AP93" s="50">
        <f>G93*(1-0)</f>
      </c>
      <c r="AQ93" s="53" t="s">
        <v>84</v>
      </c>
      <c r="AV93" s="50">
        <f>ROUND(AW93+AX93,2)</f>
      </c>
      <c r="AW93" s="50">
        <f>ROUND(F93*AO93,2)</f>
      </c>
      <c r="AX93" s="50">
        <f>ROUND(F93*AP93,2)</f>
      </c>
      <c r="AY93" s="53" t="s">
        <v>278</v>
      </c>
      <c r="AZ93" s="53" t="s">
        <v>279</v>
      </c>
      <c r="BA93" s="32" t="s">
        <v>57</v>
      </c>
      <c r="BC93" s="50">
        <f>AW93+AX93</f>
      </c>
      <c r="BD93" s="50">
        <f>G93/(100-BE93)*100</f>
      </c>
      <c r="BE93" s="50" t="n">
        <v>0</v>
      </c>
      <c r="BF93" s="50">
        <f>93</f>
      </c>
      <c r="BH93" s="50">
        <f>F93*AO93</f>
      </c>
      <c r="BI93" s="50">
        <f>F93*AP93</f>
      </c>
      <c r="BJ93" s="50">
        <f>F93*G93</f>
      </c>
      <c r="BK93" s="53" t="s">
        <v>58</v>
      </c>
      <c r="BL93" s="50" t="n">
        <v>771</v>
      </c>
      <c r="BW93" s="50" t="n">
        <v>21</v>
      </c>
      <c r="BX93" s="16" t="s">
        <v>282</v>
      </c>
    </row>
    <row r="94">
      <c r="A94" s="10" t="s">
        <v>283</v>
      </c>
      <c r="B94" s="11" t="s">
        <v>284</v>
      </c>
      <c r="C94" s="16" t="s">
        <v>285</v>
      </c>
      <c r="D94" s="11"/>
      <c r="E94" s="11" t="s">
        <v>65</v>
      </c>
      <c r="F94" s="50" t="n">
        <v>24.33</v>
      </c>
      <c r="G94" s="51" t="n">
        <v>0</v>
      </c>
      <c r="H94" s="50">
        <f>ROUND(F94*AO94,2)</f>
      </c>
      <c r="I94" s="50">
        <f>ROUND(F94*AP94,2)</f>
      </c>
      <c r="J94" s="50">
        <f>ROUND(F94*G94,2)</f>
      </c>
      <c r="K94" s="52" t="s">
        <v>54</v>
      </c>
      <c r="Z94" s="50">
        <f>ROUND(IF(AQ94="5",BJ94,0),2)</f>
      </c>
      <c r="AB94" s="50">
        <f>ROUND(IF(AQ94="1",BH94,0),2)</f>
      </c>
      <c r="AC94" s="50">
        <f>ROUND(IF(AQ94="1",BI94,0),2)</f>
      </c>
      <c r="AD94" s="50">
        <f>ROUND(IF(AQ94="7",BH94,0),2)</f>
      </c>
      <c r="AE94" s="50">
        <f>ROUND(IF(AQ94="7",BI94,0),2)</f>
      </c>
      <c r="AF94" s="50">
        <f>ROUND(IF(AQ94="2",BH94,0),2)</f>
      </c>
      <c r="AG94" s="50">
        <f>ROUND(IF(AQ94="2",BI94,0),2)</f>
      </c>
      <c r="AH94" s="50">
        <f>ROUND(IF(AQ94="0",BJ94,0),2)</f>
      </c>
      <c r="AI94" s="32" t="s">
        <v>47</v>
      </c>
      <c r="AJ94" s="50">
        <f>IF(AN94=0,J94,0)</f>
      </c>
      <c r="AK94" s="50">
        <f>IF(AN94=12,J94,0)</f>
      </c>
      <c r="AL94" s="50">
        <f>IF(AN94=21,J94,0)</f>
      </c>
      <c r="AN94" s="50" t="n">
        <v>21</v>
      </c>
      <c r="AO94" s="50">
        <f>G94*0</f>
      </c>
      <c r="AP94" s="50">
        <f>G94*(1-0)</f>
      </c>
      <c r="AQ94" s="53" t="s">
        <v>84</v>
      </c>
      <c r="AV94" s="50">
        <f>ROUND(AW94+AX94,2)</f>
      </c>
      <c r="AW94" s="50">
        <f>ROUND(F94*AO94,2)</f>
      </c>
      <c r="AX94" s="50">
        <f>ROUND(F94*AP94,2)</f>
      </c>
      <c r="AY94" s="53" t="s">
        <v>278</v>
      </c>
      <c r="AZ94" s="53" t="s">
        <v>279</v>
      </c>
      <c r="BA94" s="32" t="s">
        <v>57</v>
      </c>
      <c r="BC94" s="50">
        <f>AW94+AX94</f>
      </c>
      <c r="BD94" s="50">
        <f>G94/(100-BE94)*100</f>
      </c>
      <c r="BE94" s="50" t="n">
        <v>0</v>
      </c>
      <c r="BF94" s="50">
        <f>94</f>
      </c>
      <c r="BH94" s="50">
        <f>F94*AO94</f>
      </c>
      <c r="BI94" s="50">
        <f>F94*AP94</f>
      </c>
      <c r="BJ94" s="50">
        <f>F94*G94</f>
      </c>
      <c r="BK94" s="53" t="s">
        <v>58</v>
      </c>
      <c r="BL94" s="50" t="n">
        <v>771</v>
      </c>
      <c r="BW94" s="50" t="n">
        <v>21</v>
      </c>
      <c r="BX94" s="16" t="s">
        <v>285</v>
      </c>
    </row>
    <row r="95">
      <c r="A95" s="10" t="s">
        <v>77</v>
      </c>
      <c r="B95" s="11" t="s">
        <v>286</v>
      </c>
      <c r="C95" s="16" t="s">
        <v>287</v>
      </c>
      <c r="D95" s="11"/>
      <c r="E95" s="11" t="s">
        <v>65</v>
      </c>
      <c r="F95" s="50" t="n">
        <v>24.33</v>
      </c>
      <c r="G95" s="51" t="n">
        <v>0</v>
      </c>
      <c r="H95" s="50">
        <f>ROUND(F95*AO95,2)</f>
      </c>
      <c r="I95" s="50">
        <f>ROUND(F95*AP95,2)</f>
      </c>
      <c r="J95" s="50">
        <f>ROUND(F95*G95,2)</f>
      </c>
      <c r="K95" s="52" t="s">
        <v>54</v>
      </c>
      <c r="Z95" s="50">
        <f>ROUND(IF(AQ95="5",BJ95,0),2)</f>
      </c>
      <c r="AB95" s="50">
        <f>ROUND(IF(AQ95="1",BH95,0),2)</f>
      </c>
      <c r="AC95" s="50">
        <f>ROUND(IF(AQ95="1",BI95,0),2)</f>
      </c>
      <c r="AD95" s="50">
        <f>ROUND(IF(AQ95="7",BH95,0),2)</f>
      </c>
      <c r="AE95" s="50">
        <f>ROUND(IF(AQ95="7",BI95,0),2)</f>
      </c>
      <c r="AF95" s="50">
        <f>ROUND(IF(AQ95="2",BH95,0),2)</f>
      </c>
      <c r="AG95" s="50">
        <f>ROUND(IF(AQ95="2",BI95,0),2)</f>
      </c>
      <c r="AH95" s="50">
        <f>ROUND(IF(AQ95="0",BJ95,0),2)</f>
      </c>
      <c r="AI95" s="32" t="s">
        <v>47</v>
      </c>
      <c r="AJ95" s="50">
        <f>IF(AN95=0,J95,0)</f>
      </c>
      <c r="AK95" s="50">
        <f>IF(AN95=12,J95,0)</f>
      </c>
      <c r="AL95" s="50">
        <f>IF(AN95=21,J95,0)</f>
      </c>
      <c r="AN95" s="50" t="n">
        <v>21</v>
      </c>
      <c r="AO95" s="50">
        <f>G95*0.422535592</f>
      </c>
      <c r="AP95" s="50">
        <f>G95*(1-0.422535592)</f>
      </c>
      <c r="AQ95" s="53" t="s">
        <v>84</v>
      </c>
      <c r="AV95" s="50">
        <f>ROUND(AW95+AX95,2)</f>
      </c>
      <c r="AW95" s="50">
        <f>ROUND(F95*AO95,2)</f>
      </c>
      <c r="AX95" s="50">
        <f>ROUND(F95*AP95,2)</f>
      </c>
      <c r="AY95" s="53" t="s">
        <v>278</v>
      </c>
      <c r="AZ95" s="53" t="s">
        <v>279</v>
      </c>
      <c r="BA95" s="32" t="s">
        <v>57</v>
      </c>
      <c r="BC95" s="50">
        <f>AW95+AX95</f>
      </c>
      <c r="BD95" s="50">
        <f>G95/(100-BE95)*100</f>
      </c>
      <c r="BE95" s="50" t="n">
        <v>0</v>
      </c>
      <c r="BF95" s="50">
        <f>95</f>
      </c>
      <c r="BH95" s="50">
        <f>F95*AO95</f>
      </c>
      <c r="BI95" s="50">
        <f>F95*AP95</f>
      </c>
      <c r="BJ95" s="50">
        <f>F95*G95</f>
      </c>
      <c r="BK95" s="53" t="s">
        <v>58</v>
      </c>
      <c r="BL95" s="50" t="n">
        <v>771</v>
      </c>
      <c r="BW95" s="50" t="n">
        <v>21</v>
      </c>
      <c r="BX95" s="16" t="s">
        <v>287</v>
      </c>
    </row>
    <row r="96">
      <c r="A96" s="10" t="s">
        <v>288</v>
      </c>
      <c r="B96" s="11" t="s">
        <v>289</v>
      </c>
      <c r="C96" s="16" t="s">
        <v>290</v>
      </c>
      <c r="D96" s="11"/>
      <c r="E96" s="11" t="s">
        <v>95</v>
      </c>
      <c r="F96" s="50" t="n">
        <v>5.1</v>
      </c>
      <c r="G96" s="51" t="n">
        <v>0</v>
      </c>
      <c r="H96" s="50">
        <f>ROUND(F96*AO96,2)</f>
      </c>
      <c r="I96" s="50">
        <f>ROUND(F96*AP96,2)</f>
      </c>
      <c r="J96" s="50">
        <f>ROUND(F96*G96,2)</f>
      </c>
      <c r="K96" s="52" t="s">
        <v>54</v>
      </c>
      <c r="Z96" s="50">
        <f>ROUND(IF(AQ96="5",BJ96,0),2)</f>
      </c>
      <c r="AB96" s="50">
        <f>ROUND(IF(AQ96="1",BH96,0),2)</f>
      </c>
      <c r="AC96" s="50">
        <f>ROUND(IF(AQ96="1",BI96,0),2)</f>
      </c>
      <c r="AD96" s="50">
        <f>ROUND(IF(AQ96="7",BH96,0),2)</f>
      </c>
      <c r="AE96" s="50">
        <f>ROUND(IF(AQ96="7",BI96,0),2)</f>
      </c>
      <c r="AF96" s="50">
        <f>ROUND(IF(AQ96="2",BH96,0),2)</f>
      </c>
      <c r="AG96" s="50">
        <f>ROUND(IF(AQ96="2",BI96,0),2)</f>
      </c>
      <c r="AH96" s="50">
        <f>ROUND(IF(AQ96="0",BJ96,0),2)</f>
      </c>
      <c r="AI96" s="32" t="s">
        <v>47</v>
      </c>
      <c r="AJ96" s="50">
        <f>IF(AN96=0,J96,0)</f>
      </c>
      <c r="AK96" s="50">
        <f>IF(AN96=12,J96,0)</f>
      </c>
      <c r="AL96" s="50">
        <f>IF(AN96=21,J96,0)</f>
      </c>
      <c r="AN96" s="50" t="n">
        <v>21</v>
      </c>
      <c r="AO96" s="50">
        <f>G96*0.654643476</f>
      </c>
      <c r="AP96" s="50">
        <f>G96*(1-0.654643476)</f>
      </c>
      <c r="AQ96" s="53" t="s">
        <v>84</v>
      </c>
      <c r="AV96" s="50">
        <f>ROUND(AW96+AX96,2)</f>
      </c>
      <c r="AW96" s="50">
        <f>ROUND(F96*AO96,2)</f>
      </c>
      <c r="AX96" s="50">
        <f>ROUND(F96*AP96,2)</f>
      </c>
      <c r="AY96" s="53" t="s">
        <v>278</v>
      </c>
      <c r="AZ96" s="53" t="s">
        <v>279</v>
      </c>
      <c r="BA96" s="32" t="s">
        <v>57</v>
      </c>
      <c r="BC96" s="50">
        <f>AW96+AX96</f>
      </c>
      <c r="BD96" s="50">
        <f>G96/(100-BE96)*100</f>
      </c>
      <c r="BE96" s="50" t="n">
        <v>0</v>
      </c>
      <c r="BF96" s="50">
        <f>96</f>
      </c>
      <c r="BH96" s="50">
        <f>F96*AO96</f>
      </c>
      <c r="BI96" s="50">
        <f>F96*AP96</f>
      </c>
      <c r="BJ96" s="50">
        <f>F96*G96</f>
      </c>
      <c r="BK96" s="53" t="s">
        <v>58</v>
      </c>
      <c r="BL96" s="50" t="n">
        <v>771</v>
      </c>
      <c r="BW96" s="50" t="n">
        <v>21</v>
      </c>
      <c r="BX96" s="16" t="s">
        <v>290</v>
      </c>
    </row>
    <row r="97" customHeight="true" ht="13.5">
      <c r="A97" s="54"/>
      <c r="C97" s="55" t="s">
        <v>291</v>
      </c>
      <c r="D97" s="56"/>
      <c r="E97" s="56"/>
      <c r="F97" s="56"/>
      <c r="G97" s="57"/>
      <c r="H97" s="56"/>
      <c r="I97" s="56"/>
      <c r="J97" s="56"/>
      <c r="K97" s="58"/>
    </row>
    <row r="98">
      <c r="A98" s="10" t="s">
        <v>124</v>
      </c>
      <c r="B98" s="11" t="s">
        <v>292</v>
      </c>
      <c r="C98" s="16" t="s">
        <v>293</v>
      </c>
      <c r="D98" s="11"/>
      <c r="E98" s="11" t="s">
        <v>65</v>
      </c>
      <c r="F98" s="50" t="n">
        <v>24.33</v>
      </c>
      <c r="G98" s="51" t="n">
        <v>0</v>
      </c>
      <c r="H98" s="50">
        <f>ROUND(F98*AO98,2)</f>
      </c>
      <c r="I98" s="50">
        <f>ROUND(F98*AP98,2)</f>
      </c>
      <c r="J98" s="50">
        <f>ROUND(F98*G98,2)</f>
      </c>
      <c r="K98" s="52" t="s">
        <v>54</v>
      </c>
      <c r="Z98" s="50">
        <f>ROUND(IF(AQ98="5",BJ98,0),2)</f>
      </c>
      <c r="AB98" s="50">
        <f>ROUND(IF(AQ98="1",BH98,0),2)</f>
      </c>
      <c r="AC98" s="50">
        <f>ROUND(IF(AQ98="1",BI98,0),2)</f>
      </c>
      <c r="AD98" s="50">
        <f>ROUND(IF(AQ98="7",BH98,0),2)</f>
      </c>
      <c r="AE98" s="50">
        <f>ROUND(IF(AQ98="7",BI98,0),2)</f>
      </c>
      <c r="AF98" s="50">
        <f>ROUND(IF(AQ98="2",BH98,0),2)</f>
      </c>
      <c r="AG98" s="50">
        <f>ROUND(IF(AQ98="2",BI98,0),2)</f>
      </c>
      <c r="AH98" s="50">
        <f>ROUND(IF(AQ98="0",BJ98,0),2)</f>
      </c>
      <c r="AI98" s="32" t="s">
        <v>47</v>
      </c>
      <c r="AJ98" s="50">
        <f>IF(AN98=0,J98,0)</f>
      </c>
      <c r="AK98" s="50">
        <f>IF(AN98=12,J98,0)</f>
      </c>
      <c r="AL98" s="50">
        <f>IF(AN98=21,J98,0)</f>
      </c>
      <c r="AN98" s="50" t="n">
        <v>21</v>
      </c>
      <c r="AO98" s="50">
        <f>G98*0.180008633</f>
      </c>
      <c r="AP98" s="50">
        <f>G98*(1-0.180008633)</f>
      </c>
      <c r="AQ98" s="53" t="s">
        <v>84</v>
      </c>
      <c r="AV98" s="50">
        <f>ROUND(AW98+AX98,2)</f>
      </c>
      <c r="AW98" s="50">
        <f>ROUND(F98*AO98,2)</f>
      </c>
      <c r="AX98" s="50">
        <f>ROUND(F98*AP98,2)</f>
      </c>
      <c r="AY98" s="53" t="s">
        <v>278</v>
      </c>
      <c r="AZ98" s="53" t="s">
        <v>279</v>
      </c>
      <c r="BA98" s="32" t="s">
        <v>57</v>
      </c>
      <c r="BC98" s="50">
        <f>AW98+AX98</f>
      </c>
      <c r="BD98" s="50">
        <f>G98/(100-BE98)*100</f>
      </c>
      <c r="BE98" s="50" t="n">
        <v>0</v>
      </c>
      <c r="BF98" s="50">
        <f>98</f>
      </c>
      <c r="BH98" s="50">
        <f>F98*AO98</f>
      </c>
      <c r="BI98" s="50">
        <f>F98*AP98</f>
      </c>
      <c r="BJ98" s="50">
        <f>F98*G98</f>
      </c>
      <c r="BK98" s="53" t="s">
        <v>58</v>
      </c>
      <c r="BL98" s="50" t="n">
        <v>771</v>
      </c>
      <c r="BW98" s="50" t="n">
        <v>21</v>
      </c>
      <c r="BX98" s="16" t="s">
        <v>293</v>
      </c>
    </row>
    <row r="99" customHeight="true" ht="13.5">
      <c r="A99" s="54"/>
      <c r="C99" s="55" t="s">
        <v>294</v>
      </c>
      <c r="D99" s="56"/>
      <c r="E99" s="56"/>
      <c r="F99" s="56"/>
      <c r="G99" s="57"/>
      <c r="H99" s="56"/>
      <c r="I99" s="56"/>
      <c r="J99" s="56"/>
      <c r="K99" s="58"/>
    </row>
    <row r="100">
      <c r="A100" s="10" t="s">
        <v>131</v>
      </c>
      <c r="B100" s="11" t="s">
        <v>295</v>
      </c>
      <c r="C100" s="16" t="s">
        <v>296</v>
      </c>
      <c r="D100" s="11"/>
      <c r="E100" s="11" t="s">
        <v>65</v>
      </c>
      <c r="F100" s="50" t="n">
        <v>24.33</v>
      </c>
      <c r="G100" s="51" t="n">
        <v>0</v>
      </c>
      <c r="H100" s="50">
        <f>ROUND(F100*AO100,2)</f>
      </c>
      <c r="I100" s="50">
        <f>ROUND(F100*AP100,2)</f>
      </c>
      <c r="J100" s="50">
        <f>ROUND(F100*G100,2)</f>
      </c>
      <c r="K100" s="52" t="s">
        <v>54</v>
      </c>
      <c r="Z100" s="50">
        <f>ROUND(IF(AQ100="5",BJ100,0),2)</f>
      </c>
      <c r="AB100" s="50">
        <f>ROUND(IF(AQ100="1",BH100,0),2)</f>
      </c>
      <c r="AC100" s="50">
        <f>ROUND(IF(AQ100="1",BI100,0),2)</f>
      </c>
      <c r="AD100" s="50">
        <f>ROUND(IF(AQ100="7",BH100,0),2)</f>
      </c>
      <c r="AE100" s="50">
        <f>ROUND(IF(AQ100="7",BI100,0),2)</f>
      </c>
      <c r="AF100" s="50">
        <f>ROUND(IF(AQ100="2",BH100,0),2)</f>
      </c>
      <c r="AG100" s="50">
        <f>ROUND(IF(AQ100="2",BI100,0),2)</f>
      </c>
      <c r="AH100" s="50">
        <f>ROUND(IF(AQ100="0",BJ100,0),2)</f>
      </c>
      <c r="AI100" s="32" t="s">
        <v>47</v>
      </c>
      <c r="AJ100" s="50">
        <f>IF(AN100=0,J100,0)</f>
      </c>
      <c r="AK100" s="50">
        <f>IF(AN100=12,J100,0)</f>
      </c>
      <c r="AL100" s="50">
        <f>IF(AN100=21,J100,0)</f>
      </c>
      <c r="AN100" s="50" t="n">
        <v>21</v>
      </c>
      <c r="AO100" s="50">
        <f>G100*1</f>
      </c>
      <c r="AP100" s="50">
        <f>G100*(1-1)</f>
      </c>
      <c r="AQ100" s="53" t="s">
        <v>84</v>
      </c>
      <c r="AV100" s="50">
        <f>ROUND(AW100+AX100,2)</f>
      </c>
      <c r="AW100" s="50">
        <f>ROUND(F100*AO100,2)</f>
      </c>
      <c r="AX100" s="50">
        <f>ROUND(F100*AP100,2)</f>
      </c>
      <c r="AY100" s="53" t="s">
        <v>278</v>
      </c>
      <c r="AZ100" s="53" t="s">
        <v>279</v>
      </c>
      <c r="BA100" s="32" t="s">
        <v>57</v>
      </c>
      <c r="BC100" s="50">
        <f>AW100+AX100</f>
      </c>
      <c r="BD100" s="50">
        <f>G100/(100-BE100)*100</f>
      </c>
      <c r="BE100" s="50" t="n">
        <v>0</v>
      </c>
      <c r="BF100" s="50">
        <f>100</f>
      </c>
      <c r="BH100" s="50">
        <f>F100*AO100</f>
      </c>
      <c r="BI100" s="50">
        <f>F100*AP100</f>
      </c>
      <c r="BJ100" s="50">
        <f>F100*G100</f>
      </c>
      <c r="BK100" s="53" t="s">
        <v>58</v>
      </c>
      <c r="BL100" s="50" t="n">
        <v>771</v>
      </c>
      <c r="BW100" s="50" t="n">
        <v>21</v>
      </c>
      <c r="BX100" s="16" t="s">
        <v>296</v>
      </c>
    </row>
    <row r="101">
      <c r="A101" s="10" t="s">
        <v>297</v>
      </c>
      <c r="B101" s="11" t="s">
        <v>298</v>
      </c>
      <c r="C101" s="16" t="s">
        <v>299</v>
      </c>
      <c r="D101" s="11"/>
      <c r="E101" s="11" t="s">
        <v>65</v>
      </c>
      <c r="F101" s="50" t="n">
        <v>24.33</v>
      </c>
      <c r="G101" s="51" t="n">
        <v>0</v>
      </c>
      <c r="H101" s="50">
        <f>ROUND(F101*AO101,2)</f>
      </c>
      <c r="I101" s="50">
        <f>ROUND(F101*AP101,2)</f>
      </c>
      <c r="J101" s="50">
        <f>ROUND(F101*G101,2)</f>
      </c>
      <c r="K101" s="52" t="s">
        <v>54</v>
      </c>
      <c r="Z101" s="50">
        <f>ROUND(IF(AQ101="5",BJ101,0),2)</f>
      </c>
      <c r="AB101" s="50">
        <f>ROUND(IF(AQ101="1",BH101,0),2)</f>
      </c>
      <c r="AC101" s="50">
        <f>ROUND(IF(AQ101="1",BI101,0),2)</f>
      </c>
      <c r="AD101" s="50">
        <f>ROUND(IF(AQ101="7",BH101,0),2)</f>
      </c>
      <c r="AE101" s="50">
        <f>ROUND(IF(AQ101="7",BI101,0),2)</f>
      </c>
      <c r="AF101" s="50">
        <f>ROUND(IF(AQ101="2",BH101,0),2)</f>
      </c>
      <c r="AG101" s="50">
        <f>ROUND(IF(AQ101="2",BI101,0),2)</f>
      </c>
      <c r="AH101" s="50">
        <f>ROUND(IF(AQ101="0",BJ101,0),2)</f>
      </c>
      <c r="AI101" s="32" t="s">
        <v>47</v>
      </c>
      <c r="AJ101" s="50">
        <f>IF(AN101=0,J101,0)</f>
      </c>
      <c r="AK101" s="50">
        <f>IF(AN101=12,J101,0)</f>
      </c>
      <c r="AL101" s="50">
        <f>IF(AN101=21,J101,0)</f>
      </c>
      <c r="AN101" s="50" t="n">
        <v>21</v>
      </c>
      <c r="AO101" s="50">
        <f>G101*0</f>
      </c>
      <c r="AP101" s="50">
        <f>G101*(1-0)</f>
      </c>
      <c r="AQ101" s="53" t="s">
        <v>84</v>
      </c>
      <c r="AV101" s="50">
        <f>ROUND(AW101+AX101,2)</f>
      </c>
      <c r="AW101" s="50">
        <f>ROUND(F101*AO101,2)</f>
      </c>
      <c r="AX101" s="50">
        <f>ROUND(F101*AP101,2)</f>
      </c>
      <c r="AY101" s="53" t="s">
        <v>278</v>
      </c>
      <c r="AZ101" s="53" t="s">
        <v>279</v>
      </c>
      <c r="BA101" s="32" t="s">
        <v>57</v>
      </c>
      <c r="BC101" s="50">
        <f>AW101+AX101</f>
      </c>
      <c r="BD101" s="50">
        <f>G101/(100-BE101)*100</f>
      </c>
      <c r="BE101" s="50" t="n">
        <v>0</v>
      </c>
      <c r="BF101" s="50">
        <f>101</f>
      </c>
      <c r="BH101" s="50">
        <f>F101*AO101</f>
      </c>
      <c r="BI101" s="50">
        <f>F101*AP101</f>
      </c>
      <c r="BJ101" s="50">
        <f>F101*G101</f>
      </c>
      <c r="BK101" s="53" t="s">
        <v>58</v>
      </c>
      <c r="BL101" s="50" t="n">
        <v>771</v>
      </c>
      <c r="BW101" s="50" t="n">
        <v>21</v>
      </c>
      <c r="BX101" s="16" t="s">
        <v>299</v>
      </c>
    </row>
    <row r="102">
      <c r="A102" s="10" t="s">
        <v>300</v>
      </c>
      <c r="B102" s="11" t="s">
        <v>301</v>
      </c>
      <c r="C102" s="16" t="s">
        <v>302</v>
      </c>
      <c r="D102" s="11"/>
      <c r="E102" s="11" t="s">
        <v>95</v>
      </c>
      <c r="F102" s="50" t="n">
        <v>10.261</v>
      </c>
      <c r="G102" s="51" t="n">
        <v>0</v>
      </c>
      <c r="H102" s="50">
        <f>ROUND(F102*AO102,2)</f>
      </c>
      <c r="I102" s="50">
        <f>ROUND(F102*AP102,2)</f>
      </c>
      <c r="J102" s="50">
        <f>ROUND(F102*G102,2)</f>
      </c>
      <c r="K102" s="52" t="s">
        <v>54</v>
      </c>
      <c r="Z102" s="50">
        <f>ROUND(IF(AQ102="5",BJ102,0),2)</f>
      </c>
      <c r="AB102" s="50">
        <f>ROUND(IF(AQ102="1",BH102,0),2)</f>
      </c>
      <c r="AC102" s="50">
        <f>ROUND(IF(AQ102="1",BI102,0),2)</f>
      </c>
      <c r="AD102" s="50">
        <f>ROUND(IF(AQ102="7",BH102,0),2)</f>
      </c>
      <c r="AE102" s="50">
        <f>ROUND(IF(AQ102="7",BI102,0),2)</f>
      </c>
      <c r="AF102" s="50">
        <f>ROUND(IF(AQ102="2",BH102,0),2)</f>
      </c>
      <c r="AG102" s="50">
        <f>ROUND(IF(AQ102="2",BI102,0),2)</f>
      </c>
      <c r="AH102" s="50">
        <f>ROUND(IF(AQ102="0",BJ102,0),2)</f>
      </c>
      <c r="AI102" s="32" t="s">
        <v>47</v>
      </c>
      <c r="AJ102" s="50">
        <f>IF(AN102=0,J102,0)</f>
      </c>
      <c r="AK102" s="50">
        <f>IF(AN102=12,J102,0)</f>
      </c>
      <c r="AL102" s="50">
        <f>IF(AN102=21,J102,0)</f>
      </c>
      <c r="AN102" s="50" t="n">
        <v>21</v>
      </c>
      <c r="AO102" s="50">
        <f>G102*0.088406961</f>
      </c>
      <c r="AP102" s="50">
        <f>G102*(1-0.088406961)</f>
      </c>
      <c r="AQ102" s="53" t="s">
        <v>84</v>
      </c>
      <c r="AV102" s="50">
        <f>ROUND(AW102+AX102,2)</f>
      </c>
      <c r="AW102" s="50">
        <f>ROUND(F102*AO102,2)</f>
      </c>
      <c r="AX102" s="50">
        <f>ROUND(F102*AP102,2)</f>
      </c>
      <c r="AY102" s="53" t="s">
        <v>278</v>
      </c>
      <c r="AZ102" s="53" t="s">
        <v>279</v>
      </c>
      <c r="BA102" s="32" t="s">
        <v>57</v>
      </c>
      <c r="BC102" s="50">
        <f>AW102+AX102</f>
      </c>
      <c r="BD102" s="50">
        <f>G102/(100-BE102)*100</f>
      </c>
      <c r="BE102" s="50" t="n">
        <v>0</v>
      </c>
      <c r="BF102" s="50">
        <f>102</f>
      </c>
      <c r="BH102" s="50">
        <f>F102*AO102</f>
      </c>
      <c r="BI102" s="50">
        <f>F102*AP102</f>
      </c>
      <c r="BJ102" s="50">
        <f>F102*G102</f>
      </c>
      <c r="BK102" s="53" t="s">
        <v>58</v>
      </c>
      <c r="BL102" s="50" t="n">
        <v>771</v>
      </c>
      <c r="BW102" s="50" t="n">
        <v>21</v>
      </c>
      <c r="BX102" s="16" t="s">
        <v>302</v>
      </c>
    </row>
    <row r="103">
      <c r="A103" s="10" t="s">
        <v>303</v>
      </c>
      <c r="B103" s="11" t="s">
        <v>304</v>
      </c>
      <c r="C103" s="16" t="s">
        <v>305</v>
      </c>
      <c r="D103" s="11"/>
      <c r="E103" s="11" t="s">
        <v>65</v>
      </c>
      <c r="F103" s="50" t="n">
        <v>29.15951</v>
      </c>
      <c r="G103" s="51" t="n">
        <v>0</v>
      </c>
      <c r="H103" s="50">
        <f>ROUND(F103*AO103,2)</f>
      </c>
      <c r="I103" s="50">
        <f>ROUND(F103*AP103,2)</f>
      </c>
      <c r="J103" s="50">
        <f>ROUND(F103*G103,2)</f>
      </c>
      <c r="K103" s="52" t="s">
        <v>54</v>
      </c>
      <c r="Z103" s="50">
        <f>ROUND(IF(AQ103="5",BJ103,0),2)</f>
      </c>
      <c r="AB103" s="50">
        <f>ROUND(IF(AQ103="1",BH103,0),2)</f>
      </c>
      <c r="AC103" s="50">
        <f>ROUND(IF(AQ103="1",BI103,0),2)</f>
      </c>
      <c r="AD103" s="50">
        <f>ROUND(IF(AQ103="7",BH103,0),2)</f>
      </c>
      <c r="AE103" s="50">
        <f>ROUND(IF(AQ103="7",BI103,0),2)</f>
      </c>
      <c r="AF103" s="50">
        <f>ROUND(IF(AQ103="2",BH103,0),2)</f>
      </c>
      <c r="AG103" s="50">
        <f>ROUND(IF(AQ103="2",BI103,0),2)</f>
      </c>
      <c r="AH103" s="50">
        <f>ROUND(IF(AQ103="0",BJ103,0),2)</f>
      </c>
      <c r="AI103" s="32" t="s">
        <v>47</v>
      </c>
      <c r="AJ103" s="50">
        <f>IF(AN103=0,J103,0)</f>
      </c>
      <c r="AK103" s="50">
        <f>IF(AN103=12,J103,0)</f>
      </c>
      <c r="AL103" s="50">
        <f>IF(AN103=21,J103,0)</f>
      </c>
      <c r="AN103" s="50" t="n">
        <v>21</v>
      </c>
      <c r="AO103" s="50">
        <f>G103*1</f>
      </c>
      <c r="AP103" s="50">
        <f>G103*(1-1)</f>
      </c>
      <c r="AQ103" s="53" t="s">
        <v>84</v>
      </c>
      <c r="AV103" s="50">
        <f>ROUND(AW103+AX103,2)</f>
      </c>
      <c r="AW103" s="50">
        <f>ROUND(F103*AO103,2)</f>
      </c>
      <c r="AX103" s="50">
        <f>ROUND(F103*AP103,2)</f>
      </c>
      <c r="AY103" s="53" t="s">
        <v>278</v>
      </c>
      <c r="AZ103" s="53" t="s">
        <v>279</v>
      </c>
      <c r="BA103" s="32" t="s">
        <v>57</v>
      </c>
      <c r="BC103" s="50">
        <f>AW103+AX103</f>
      </c>
      <c r="BD103" s="50">
        <f>G103/(100-BE103)*100</f>
      </c>
      <c r="BE103" s="50" t="n">
        <v>0</v>
      </c>
      <c r="BF103" s="50">
        <f>103</f>
      </c>
      <c r="BH103" s="50">
        <f>F103*AO103</f>
      </c>
      <c r="BI103" s="50">
        <f>F103*AP103</f>
      </c>
      <c r="BJ103" s="50">
        <f>F103*G103</f>
      </c>
      <c r="BK103" s="53" t="s">
        <v>73</v>
      </c>
      <c r="BL103" s="50" t="n">
        <v>771</v>
      </c>
      <c r="BW103" s="50" t="n">
        <v>21</v>
      </c>
      <c r="BX103" s="16" t="s">
        <v>305</v>
      </c>
    </row>
    <row r="104">
      <c r="A104" s="10" t="s">
        <v>306</v>
      </c>
      <c r="B104" s="11" t="s">
        <v>307</v>
      </c>
      <c r="C104" s="16" t="s">
        <v>308</v>
      </c>
      <c r="D104" s="11"/>
      <c r="E104" s="11" t="s">
        <v>272</v>
      </c>
      <c r="F104" s="50" t="n">
        <v>0.8302</v>
      </c>
      <c r="G104" s="51" t="n">
        <v>0</v>
      </c>
      <c r="H104" s="50">
        <f>ROUND(F104*AO104,2)</f>
      </c>
      <c r="I104" s="50">
        <f>ROUND(F104*AP104,2)</f>
      </c>
      <c r="J104" s="50">
        <f>ROUND(F104*G104,2)</f>
      </c>
      <c r="K104" s="52" t="s">
        <v>54</v>
      </c>
      <c r="Z104" s="50">
        <f>ROUND(IF(AQ104="5",BJ104,0),2)</f>
      </c>
      <c r="AB104" s="50">
        <f>ROUND(IF(AQ104="1",BH104,0),2)</f>
      </c>
      <c r="AC104" s="50">
        <f>ROUND(IF(AQ104="1",BI104,0),2)</f>
      </c>
      <c r="AD104" s="50">
        <f>ROUND(IF(AQ104="7",BH104,0),2)</f>
      </c>
      <c r="AE104" s="50">
        <f>ROUND(IF(AQ104="7",BI104,0),2)</f>
      </c>
      <c r="AF104" s="50">
        <f>ROUND(IF(AQ104="2",BH104,0),2)</f>
      </c>
      <c r="AG104" s="50">
        <f>ROUND(IF(AQ104="2",BI104,0),2)</f>
      </c>
      <c r="AH104" s="50">
        <f>ROUND(IF(AQ104="0",BJ104,0),2)</f>
      </c>
      <c r="AI104" s="32" t="s">
        <v>47</v>
      </c>
      <c r="AJ104" s="50">
        <f>IF(AN104=0,J104,0)</f>
      </c>
      <c r="AK104" s="50">
        <f>IF(AN104=12,J104,0)</f>
      </c>
      <c r="AL104" s="50">
        <f>IF(AN104=21,J104,0)</f>
      </c>
      <c r="AN104" s="50" t="n">
        <v>21</v>
      </c>
      <c r="AO104" s="50">
        <f>G104*0</f>
      </c>
      <c r="AP104" s="50">
        <f>G104*(1-0)</f>
      </c>
      <c r="AQ104" s="53" t="s">
        <v>74</v>
      </c>
      <c r="AV104" s="50">
        <f>ROUND(AW104+AX104,2)</f>
      </c>
      <c r="AW104" s="50">
        <f>ROUND(F104*AO104,2)</f>
      </c>
      <c r="AX104" s="50">
        <f>ROUND(F104*AP104,2)</f>
      </c>
      <c r="AY104" s="53" t="s">
        <v>278</v>
      </c>
      <c r="AZ104" s="53" t="s">
        <v>279</v>
      </c>
      <c r="BA104" s="32" t="s">
        <v>57</v>
      </c>
      <c r="BC104" s="50">
        <f>AW104+AX104</f>
      </c>
      <c r="BD104" s="50">
        <f>G104/(100-BE104)*100</f>
      </c>
      <c r="BE104" s="50" t="n">
        <v>0</v>
      </c>
      <c r="BF104" s="50">
        <f>104</f>
      </c>
      <c r="BH104" s="50">
        <f>F104*AO104</f>
      </c>
      <c r="BI104" s="50">
        <f>F104*AP104</f>
      </c>
      <c r="BJ104" s="50">
        <f>F104*G104</f>
      </c>
      <c r="BK104" s="53" t="s">
        <v>58</v>
      </c>
      <c r="BL104" s="50" t="n">
        <v>771</v>
      </c>
      <c r="BW104" s="50" t="n">
        <v>21</v>
      </c>
      <c r="BX104" s="16" t="s">
        <v>308</v>
      </c>
    </row>
    <row r="105">
      <c r="A105" s="59" t="s">
        <v>47</v>
      </c>
      <c r="B105" s="60" t="s">
        <v>309</v>
      </c>
      <c r="C105" s="61" t="s">
        <v>310</v>
      </c>
      <c r="D105" s="60"/>
      <c r="E105" s="62" t="s">
        <v>4</v>
      </c>
      <c r="F105" s="62" t="s">
        <v>4</v>
      </c>
      <c r="G105" s="63" t="s">
        <v>4</v>
      </c>
      <c r="H105" s="2">
        <f>SUM(H106:H117)</f>
      </c>
      <c r="I105" s="2">
        <f>SUM(I106:I117)</f>
      </c>
      <c r="J105" s="2">
        <f>SUM(J106:J117)</f>
      </c>
      <c r="K105" s="64" t="s">
        <v>47</v>
      </c>
      <c r="AI105" s="32" t="s">
        <v>47</v>
      </c>
      <c r="AS105" s="2">
        <f>SUM(AJ106:AJ117)</f>
      </c>
      <c r="AT105" s="2">
        <f>SUM(AK106:AK117)</f>
      </c>
      <c r="AU105" s="2">
        <f>SUM(AL106:AL117)</f>
      </c>
    </row>
    <row r="106">
      <c r="A106" s="10" t="s">
        <v>311</v>
      </c>
      <c r="B106" s="11" t="s">
        <v>312</v>
      </c>
      <c r="C106" s="16" t="s">
        <v>313</v>
      </c>
      <c r="D106" s="11"/>
      <c r="E106" s="11" t="s">
        <v>95</v>
      </c>
      <c r="F106" s="50" t="n">
        <v>121.957</v>
      </c>
      <c r="G106" s="51" t="n">
        <v>0</v>
      </c>
      <c r="H106" s="50">
        <f>ROUND(F106*AO106,2)</f>
      </c>
      <c r="I106" s="50">
        <f>ROUND(F106*AP106,2)</f>
      </c>
      <c r="J106" s="50">
        <f>ROUND(F106*G106,2)</f>
      </c>
      <c r="K106" s="52" t="s">
        <v>54</v>
      </c>
      <c r="Z106" s="50">
        <f>ROUND(IF(AQ106="5",BJ106,0),2)</f>
      </c>
      <c r="AB106" s="50">
        <f>ROUND(IF(AQ106="1",BH106,0),2)</f>
      </c>
      <c r="AC106" s="50">
        <f>ROUND(IF(AQ106="1",BI106,0),2)</f>
      </c>
      <c r="AD106" s="50">
        <f>ROUND(IF(AQ106="7",BH106,0),2)</f>
      </c>
      <c r="AE106" s="50">
        <f>ROUND(IF(AQ106="7",BI106,0),2)</f>
      </c>
      <c r="AF106" s="50">
        <f>ROUND(IF(AQ106="2",BH106,0),2)</f>
      </c>
      <c r="AG106" s="50">
        <f>ROUND(IF(AQ106="2",BI106,0),2)</f>
      </c>
      <c r="AH106" s="50">
        <f>ROUND(IF(AQ106="0",BJ106,0),2)</f>
      </c>
      <c r="AI106" s="32" t="s">
        <v>47</v>
      </c>
      <c r="AJ106" s="50">
        <f>IF(AN106=0,J106,0)</f>
      </c>
      <c r="AK106" s="50">
        <f>IF(AN106=12,J106,0)</f>
      </c>
      <c r="AL106" s="50">
        <f>IF(AN106=21,J106,0)</f>
      </c>
      <c r="AN106" s="50" t="n">
        <v>21</v>
      </c>
      <c r="AO106" s="50">
        <f>G106*0</f>
      </c>
      <c r="AP106" s="50">
        <f>G106*(1-0)</f>
      </c>
      <c r="AQ106" s="53" t="s">
        <v>84</v>
      </c>
      <c r="AV106" s="50">
        <f>ROUND(AW106+AX106,2)</f>
      </c>
      <c r="AW106" s="50">
        <f>ROUND(F106*AO106,2)</f>
      </c>
      <c r="AX106" s="50">
        <f>ROUND(F106*AP106,2)</f>
      </c>
      <c r="AY106" s="53" t="s">
        <v>314</v>
      </c>
      <c r="AZ106" s="53" t="s">
        <v>279</v>
      </c>
      <c r="BA106" s="32" t="s">
        <v>57</v>
      </c>
      <c r="BC106" s="50">
        <f>AW106+AX106</f>
      </c>
      <c r="BD106" s="50">
        <f>G106/(100-BE106)*100</f>
      </c>
      <c r="BE106" s="50" t="n">
        <v>0</v>
      </c>
      <c r="BF106" s="50">
        <f>106</f>
      </c>
      <c r="BH106" s="50">
        <f>F106*AO106</f>
      </c>
      <c r="BI106" s="50">
        <f>F106*AP106</f>
      </c>
      <c r="BJ106" s="50">
        <f>F106*G106</f>
      </c>
      <c r="BK106" s="53" t="s">
        <v>58</v>
      </c>
      <c r="BL106" s="50" t="n">
        <v>776</v>
      </c>
      <c r="BW106" s="50" t="n">
        <v>21</v>
      </c>
      <c r="BX106" s="16" t="s">
        <v>313</v>
      </c>
    </row>
    <row r="107">
      <c r="A107" s="10" t="s">
        <v>315</v>
      </c>
      <c r="B107" s="11" t="s">
        <v>316</v>
      </c>
      <c r="C107" s="16" t="s">
        <v>317</v>
      </c>
      <c r="D107" s="11"/>
      <c r="E107" s="11" t="s">
        <v>65</v>
      </c>
      <c r="F107" s="50" t="n">
        <v>187.12</v>
      </c>
      <c r="G107" s="51" t="n">
        <v>0</v>
      </c>
      <c r="H107" s="50">
        <f>ROUND(F107*AO107,2)</f>
      </c>
      <c r="I107" s="50">
        <f>ROUND(F107*AP107,2)</f>
      </c>
      <c r="J107" s="50">
        <f>ROUND(F107*G107,2)</f>
      </c>
      <c r="K107" s="52" t="s">
        <v>54</v>
      </c>
      <c r="Z107" s="50">
        <f>ROUND(IF(AQ107="5",BJ107,0),2)</f>
      </c>
      <c r="AB107" s="50">
        <f>ROUND(IF(AQ107="1",BH107,0),2)</f>
      </c>
      <c r="AC107" s="50">
        <f>ROUND(IF(AQ107="1",BI107,0),2)</f>
      </c>
      <c r="AD107" s="50">
        <f>ROUND(IF(AQ107="7",BH107,0),2)</f>
      </c>
      <c r="AE107" s="50">
        <f>ROUND(IF(AQ107="7",BI107,0),2)</f>
      </c>
      <c r="AF107" s="50">
        <f>ROUND(IF(AQ107="2",BH107,0),2)</f>
      </c>
      <c r="AG107" s="50">
        <f>ROUND(IF(AQ107="2",BI107,0),2)</f>
      </c>
      <c r="AH107" s="50">
        <f>ROUND(IF(AQ107="0",BJ107,0),2)</f>
      </c>
      <c r="AI107" s="32" t="s">
        <v>47</v>
      </c>
      <c r="AJ107" s="50">
        <f>IF(AN107=0,J107,0)</f>
      </c>
      <c r="AK107" s="50">
        <f>IF(AN107=12,J107,0)</f>
      </c>
      <c r="AL107" s="50">
        <f>IF(AN107=21,J107,0)</f>
      </c>
      <c r="AN107" s="50" t="n">
        <v>21</v>
      </c>
      <c r="AO107" s="50">
        <f>G107*0</f>
      </c>
      <c r="AP107" s="50">
        <f>G107*(1-0)</f>
      </c>
      <c r="AQ107" s="53" t="s">
        <v>84</v>
      </c>
      <c r="AV107" s="50">
        <f>ROUND(AW107+AX107,2)</f>
      </c>
      <c r="AW107" s="50">
        <f>ROUND(F107*AO107,2)</f>
      </c>
      <c r="AX107" s="50">
        <f>ROUND(F107*AP107,2)</f>
      </c>
      <c r="AY107" s="53" t="s">
        <v>314</v>
      </c>
      <c r="AZ107" s="53" t="s">
        <v>279</v>
      </c>
      <c r="BA107" s="32" t="s">
        <v>57</v>
      </c>
      <c r="BC107" s="50">
        <f>AW107+AX107</f>
      </c>
      <c r="BD107" s="50">
        <f>G107/(100-BE107)*100</f>
      </c>
      <c r="BE107" s="50" t="n">
        <v>0</v>
      </c>
      <c r="BF107" s="50">
        <f>107</f>
      </c>
      <c r="BH107" s="50">
        <f>F107*AO107</f>
      </c>
      <c r="BI107" s="50">
        <f>F107*AP107</f>
      </c>
      <c r="BJ107" s="50">
        <f>F107*G107</f>
      </c>
      <c r="BK107" s="53" t="s">
        <v>58</v>
      </c>
      <c r="BL107" s="50" t="n">
        <v>776</v>
      </c>
      <c r="BW107" s="50" t="n">
        <v>21</v>
      </c>
      <c r="BX107" s="16" t="s">
        <v>317</v>
      </c>
    </row>
    <row r="108">
      <c r="A108" s="10" t="s">
        <v>318</v>
      </c>
      <c r="B108" s="11" t="s">
        <v>319</v>
      </c>
      <c r="C108" s="16" t="s">
        <v>320</v>
      </c>
      <c r="D108" s="11"/>
      <c r="E108" s="11" t="s">
        <v>65</v>
      </c>
      <c r="F108" s="50" t="n">
        <v>187.12</v>
      </c>
      <c r="G108" s="51" t="n">
        <v>0</v>
      </c>
      <c r="H108" s="50">
        <f>ROUND(F108*AO108,2)</f>
      </c>
      <c r="I108" s="50">
        <f>ROUND(F108*AP108,2)</f>
      </c>
      <c r="J108" s="50">
        <f>ROUND(F108*G108,2)</f>
      </c>
      <c r="K108" s="52" t="s">
        <v>54</v>
      </c>
      <c r="Z108" s="50">
        <f>ROUND(IF(AQ108="5",BJ108,0),2)</f>
      </c>
      <c r="AB108" s="50">
        <f>ROUND(IF(AQ108="1",BH108,0),2)</f>
      </c>
      <c r="AC108" s="50">
        <f>ROUND(IF(AQ108="1",BI108,0),2)</f>
      </c>
      <c r="AD108" s="50">
        <f>ROUND(IF(AQ108="7",BH108,0),2)</f>
      </c>
      <c r="AE108" s="50">
        <f>ROUND(IF(AQ108="7",BI108,0),2)</f>
      </c>
      <c r="AF108" s="50">
        <f>ROUND(IF(AQ108="2",BH108,0),2)</f>
      </c>
      <c r="AG108" s="50">
        <f>ROUND(IF(AQ108="2",BI108,0),2)</f>
      </c>
      <c r="AH108" s="50">
        <f>ROUND(IF(AQ108="0",BJ108,0),2)</f>
      </c>
      <c r="AI108" s="32" t="s">
        <v>47</v>
      </c>
      <c r="AJ108" s="50">
        <f>IF(AN108=0,J108,0)</f>
      </c>
      <c r="AK108" s="50">
        <f>IF(AN108=12,J108,0)</f>
      </c>
      <c r="AL108" s="50">
        <f>IF(AN108=21,J108,0)</f>
      </c>
      <c r="AN108" s="50" t="n">
        <v>21</v>
      </c>
      <c r="AO108" s="50">
        <f>G108*0</f>
      </c>
      <c r="AP108" s="50">
        <f>G108*(1-0)</f>
      </c>
      <c r="AQ108" s="53" t="s">
        <v>84</v>
      </c>
      <c r="AV108" s="50">
        <f>ROUND(AW108+AX108,2)</f>
      </c>
      <c r="AW108" s="50">
        <f>ROUND(F108*AO108,2)</f>
      </c>
      <c r="AX108" s="50">
        <f>ROUND(F108*AP108,2)</f>
      </c>
      <c r="AY108" s="53" t="s">
        <v>314</v>
      </c>
      <c r="AZ108" s="53" t="s">
        <v>279</v>
      </c>
      <c r="BA108" s="32" t="s">
        <v>57</v>
      </c>
      <c r="BC108" s="50">
        <f>AW108+AX108</f>
      </c>
      <c r="BD108" s="50">
        <f>G108/(100-BE108)*100</f>
      </c>
      <c r="BE108" s="50" t="n">
        <v>0</v>
      </c>
      <c r="BF108" s="50">
        <f>108</f>
      </c>
      <c r="BH108" s="50">
        <f>F108*AO108</f>
      </c>
      <c r="BI108" s="50">
        <f>F108*AP108</f>
      </c>
      <c r="BJ108" s="50">
        <f>F108*G108</f>
      </c>
      <c r="BK108" s="53" t="s">
        <v>58</v>
      </c>
      <c r="BL108" s="50" t="n">
        <v>776</v>
      </c>
      <c r="BW108" s="50" t="n">
        <v>21</v>
      </c>
      <c r="BX108" s="16" t="s">
        <v>320</v>
      </c>
    </row>
    <row r="109">
      <c r="A109" s="10" t="s">
        <v>321</v>
      </c>
      <c r="B109" s="11" t="s">
        <v>322</v>
      </c>
      <c r="C109" s="16" t="s">
        <v>323</v>
      </c>
      <c r="D109" s="11"/>
      <c r="E109" s="11" t="s">
        <v>65</v>
      </c>
      <c r="F109" s="50" t="n">
        <v>187.12</v>
      </c>
      <c r="G109" s="51" t="n">
        <v>0</v>
      </c>
      <c r="H109" s="50">
        <f>ROUND(F109*AO109,2)</f>
      </c>
      <c r="I109" s="50">
        <f>ROUND(F109*AP109,2)</f>
      </c>
      <c r="J109" s="50">
        <f>ROUND(F109*G109,2)</f>
      </c>
      <c r="K109" s="52" t="s">
        <v>54</v>
      </c>
      <c r="Z109" s="50">
        <f>ROUND(IF(AQ109="5",BJ109,0),2)</f>
      </c>
      <c r="AB109" s="50">
        <f>ROUND(IF(AQ109="1",BH109,0),2)</f>
      </c>
      <c r="AC109" s="50">
        <f>ROUND(IF(AQ109="1",BI109,0),2)</f>
      </c>
      <c r="AD109" s="50">
        <f>ROUND(IF(AQ109="7",BH109,0),2)</f>
      </c>
      <c r="AE109" s="50">
        <f>ROUND(IF(AQ109="7",BI109,0),2)</f>
      </c>
      <c r="AF109" s="50">
        <f>ROUND(IF(AQ109="2",BH109,0),2)</f>
      </c>
      <c r="AG109" s="50">
        <f>ROUND(IF(AQ109="2",BI109,0),2)</f>
      </c>
      <c r="AH109" s="50">
        <f>ROUND(IF(AQ109="0",BJ109,0),2)</f>
      </c>
      <c r="AI109" s="32" t="s">
        <v>47</v>
      </c>
      <c r="AJ109" s="50">
        <f>IF(AN109=0,J109,0)</f>
      </c>
      <c r="AK109" s="50">
        <f>IF(AN109=12,J109,0)</f>
      </c>
      <c r="AL109" s="50">
        <f>IF(AN109=21,J109,0)</f>
      </c>
      <c r="AN109" s="50" t="n">
        <v>21</v>
      </c>
      <c r="AO109" s="50">
        <f>G109*0</f>
      </c>
      <c r="AP109" s="50">
        <f>G109*(1-0)</f>
      </c>
      <c r="AQ109" s="53" t="s">
        <v>84</v>
      </c>
      <c r="AV109" s="50">
        <f>ROUND(AW109+AX109,2)</f>
      </c>
      <c r="AW109" s="50">
        <f>ROUND(F109*AO109,2)</f>
      </c>
      <c r="AX109" s="50">
        <f>ROUND(F109*AP109,2)</f>
      </c>
      <c r="AY109" s="53" t="s">
        <v>314</v>
      </c>
      <c r="AZ109" s="53" t="s">
        <v>279</v>
      </c>
      <c r="BA109" s="32" t="s">
        <v>57</v>
      </c>
      <c r="BC109" s="50">
        <f>AW109+AX109</f>
      </c>
      <c r="BD109" s="50">
        <f>G109/(100-BE109)*100</f>
      </c>
      <c r="BE109" s="50" t="n">
        <v>0</v>
      </c>
      <c r="BF109" s="50">
        <f>109</f>
      </c>
      <c r="BH109" s="50">
        <f>F109*AO109</f>
      </c>
      <c r="BI109" s="50">
        <f>F109*AP109</f>
      </c>
      <c r="BJ109" s="50">
        <f>F109*G109</f>
      </c>
      <c r="BK109" s="53" t="s">
        <v>58</v>
      </c>
      <c r="BL109" s="50" t="n">
        <v>776</v>
      </c>
      <c r="BW109" s="50" t="n">
        <v>21</v>
      </c>
      <c r="BX109" s="16" t="s">
        <v>323</v>
      </c>
    </row>
    <row r="110" customHeight="true" ht="13.5">
      <c r="A110" s="54"/>
      <c r="C110" s="55" t="s">
        <v>324</v>
      </c>
      <c r="D110" s="56"/>
      <c r="E110" s="56"/>
      <c r="F110" s="56"/>
      <c r="G110" s="57"/>
      <c r="H110" s="56"/>
      <c r="I110" s="56"/>
      <c r="J110" s="56"/>
      <c r="K110" s="58"/>
    </row>
    <row r="111">
      <c r="A111" s="10" t="s">
        <v>325</v>
      </c>
      <c r="B111" s="11" t="s">
        <v>326</v>
      </c>
      <c r="C111" s="16" t="s">
        <v>327</v>
      </c>
      <c r="D111" s="11"/>
      <c r="E111" s="11" t="s">
        <v>65</v>
      </c>
      <c r="F111" s="50" t="n">
        <v>187.12</v>
      </c>
      <c r="G111" s="51" t="n">
        <v>0</v>
      </c>
      <c r="H111" s="50">
        <f>ROUND(F111*AO111,2)</f>
      </c>
      <c r="I111" s="50">
        <f>ROUND(F111*AP111,2)</f>
      </c>
      <c r="J111" s="50">
        <f>ROUND(F111*G111,2)</f>
      </c>
      <c r="K111" s="52" t="s">
        <v>54</v>
      </c>
      <c r="Z111" s="50">
        <f>ROUND(IF(AQ111="5",BJ111,0),2)</f>
      </c>
      <c r="AB111" s="50">
        <f>ROUND(IF(AQ111="1",BH111,0),2)</f>
      </c>
      <c r="AC111" s="50">
        <f>ROUND(IF(AQ111="1",BI111,0),2)</f>
      </c>
      <c r="AD111" s="50">
        <f>ROUND(IF(AQ111="7",BH111,0),2)</f>
      </c>
      <c r="AE111" s="50">
        <f>ROUND(IF(AQ111="7",BI111,0),2)</f>
      </c>
      <c r="AF111" s="50">
        <f>ROUND(IF(AQ111="2",BH111,0),2)</f>
      </c>
      <c r="AG111" s="50">
        <f>ROUND(IF(AQ111="2",BI111,0),2)</f>
      </c>
      <c r="AH111" s="50">
        <f>ROUND(IF(AQ111="0",BJ111,0),2)</f>
      </c>
      <c r="AI111" s="32" t="s">
        <v>47</v>
      </c>
      <c r="AJ111" s="50">
        <f>IF(AN111=0,J111,0)</f>
      </c>
      <c r="AK111" s="50">
        <f>IF(AN111=12,J111,0)</f>
      </c>
      <c r="AL111" s="50">
        <f>IF(AN111=21,J111,0)</f>
      </c>
      <c r="AN111" s="50" t="n">
        <v>21</v>
      </c>
      <c r="AO111" s="50">
        <f>G111*0</f>
      </c>
      <c r="AP111" s="50">
        <f>G111*(1-0)</f>
      </c>
      <c r="AQ111" s="53" t="s">
        <v>84</v>
      </c>
      <c r="AV111" s="50">
        <f>ROUND(AW111+AX111,2)</f>
      </c>
      <c r="AW111" s="50">
        <f>ROUND(F111*AO111,2)</f>
      </c>
      <c r="AX111" s="50">
        <f>ROUND(F111*AP111,2)</f>
      </c>
      <c r="AY111" s="53" t="s">
        <v>314</v>
      </c>
      <c r="AZ111" s="53" t="s">
        <v>279</v>
      </c>
      <c r="BA111" s="32" t="s">
        <v>57</v>
      </c>
      <c r="BC111" s="50">
        <f>AW111+AX111</f>
      </c>
      <c r="BD111" s="50">
        <f>G111/(100-BE111)*100</f>
      </c>
      <c r="BE111" s="50" t="n">
        <v>0</v>
      </c>
      <c r="BF111" s="50">
        <f>111</f>
      </c>
      <c r="BH111" s="50">
        <f>F111*AO111</f>
      </c>
      <c r="BI111" s="50">
        <f>F111*AP111</f>
      </c>
      <c r="BJ111" s="50">
        <f>F111*G111</f>
      </c>
      <c r="BK111" s="53" t="s">
        <v>58</v>
      </c>
      <c r="BL111" s="50" t="n">
        <v>776</v>
      </c>
      <c r="BW111" s="50" t="n">
        <v>21</v>
      </c>
      <c r="BX111" s="16" t="s">
        <v>327</v>
      </c>
    </row>
    <row r="112">
      <c r="A112" s="10" t="s">
        <v>328</v>
      </c>
      <c r="B112" s="11" t="s">
        <v>329</v>
      </c>
      <c r="C112" s="16" t="s">
        <v>330</v>
      </c>
      <c r="D112" s="11"/>
      <c r="E112" s="11" t="s">
        <v>65</v>
      </c>
      <c r="F112" s="50" t="n">
        <v>187.12</v>
      </c>
      <c r="G112" s="51" t="n">
        <v>0</v>
      </c>
      <c r="H112" s="50">
        <f>ROUND(F112*AO112,2)</f>
      </c>
      <c r="I112" s="50">
        <f>ROUND(F112*AP112,2)</f>
      </c>
      <c r="J112" s="50">
        <f>ROUND(F112*G112,2)</f>
      </c>
      <c r="K112" s="52" t="s">
        <v>54</v>
      </c>
      <c r="Z112" s="50">
        <f>ROUND(IF(AQ112="5",BJ112,0),2)</f>
      </c>
      <c r="AB112" s="50">
        <f>ROUND(IF(AQ112="1",BH112,0),2)</f>
      </c>
      <c r="AC112" s="50">
        <f>ROUND(IF(AQ112="1",BI112,0),2)</f>
      </c>
      <c r="AD112" s="50">
        <f>ROUND(IF(AQ112="7",BH112,0),2)</f>
      </c>
      <c r="AE112" s="50">
        <f>ROUND(IF(AQ112="7",BI112,0),2)</f>
      </c>
      <c r="AF112" s="50">
        <f>ROUND(IF(AQ112="2",BH112,0),2)</f>
      </c>
      <c r="AG112" s="50">
        <f>ROUND(IF(AQ112="2",BI112,0),2)</f>
      </c>
      <c r="AH112" s="50">
        <f>ROUND(IF(AQ112="0",BJ112,0),2)</f>
      </c>
      <c r="AI112" s="32" t="s">
        <v>47</v>
      </c>
      <c r="AJ112" s="50">
        <f>IF(AN112=0,J112,0)</f>
      </c>
      <c r="AK112" s="50">
        <f>IF(AN112=12,J112,0)</f>
      </c>
      <c r="AL112" s="50">
        <f>IF(AN112=21,J112,0)</f>
      </c>
      <c r="AN112" s="50" t="n">
        <v>21</v>
      </c>
      <c r="AO112" s="50">
        <f>G112*0.175591889</f>
      </c>
      <c r="AP112" s="50">
        <f>G112*(1-0.175591889)</f>
      </c>
      <c r="AQ112" s="53" t="s">
        <v>84</v>
      </c>
      <c r="AV112" s="50">
        <f>ROUND(AW112+AX112,2)</f>
      </c>
      <c r="AW112" s="50">
        <f>ROUND(F112*AO112,2)</f>
      </c>
      <c r="AX112" s="50">
        <f>ROUND(F112*AP112,2)</f>
      </c>
      <c r="AY112" s="53" t="s">
        <v>314</v>
      </c>
      <c r="AZ112" s="53" t="s">
        <v>279</v>
      </c>
      <c r="BA112" s="32" t="s">
        <v>57</v>
      </c>
      <c r="BC112" s="50">
        <f>AW112+AX112</f>
      </c>
      <c r="BD112" s="50">
        <f>G112/(100-BE112)*100</f>
      </c>
      <c r="BE112" s="50" t="n">
        <v>0</v>
      </c>
      <c r="BF112" s="50">
        <f>112</f>
      </c>
      <c r="BH112" s="50">
        <f>F112*AO112</f>
      </c>
      <c r="BI112" s="50">
        <f>F112*AP112</f>
      </c>
      <c r="BJ112" s="50">
        <f>F112*G112</f>
      </c>
      <c r="BK112" s="53" t="s">
        <v>58</v>
      </c>
      <c r="BL112" s="50" t="n">
        <v>776</v>
      </c>
      <c r="BW112" s="50" t="n">
        <v>21</v>
      </c>
      <c r="BX112" s="16" t="s">
        <v>330</v>
      </c>
    </row>
    <row r="113" customHeight="true" ht="13.5">
      <c r="A113" s="54"/>
      <c r="C113" s="55" t="s">
        <v>331</v>
      </c>
      <c r="D113" s="56"/>
      <c r="E113" s="56"/>
      <c r="F113" s="56"/>
      <c r="G113" s="57"/>
      <c r="H113" s="56"/>
      <c r="I113" s="56"/>
      <c r="J113" s="56"/>
      <c r="K113" s="58"/>
    </row>
    <row r="114">
      <c r="A114" s="10" t="s">
        <v>332</v>
      </c>
      <c r="B114" s="11" t="s">
        <v>333</v>
      </c>
      <c r="C114" s="16" t="s">
        <v>334</v>
      </c>
      <c r="D114" s="11"/>
      <c r="E114" s="11" t="s">
        <v>95</v>
      </c>
      <c r="F114" s="50" t="n">
        <v>121.957</v>
      </c>
      <c r="G114" s="51" t="n">
        <v>0</v>
      </c>
      <c r="H114" s="50">
        <f>ROUND(F114*AO114,2)</f>
      </c>
      <c r="I114" s="50">
        <f>ROUND(F114*AP114,2)</f>
      </c>
      <c r="J114" s="50">
        <f>ROUND(F114*G114,2)</f>
      </c>
      <c r="K114" s="52" t="s">
        <v>54</v>
      </c>
      <c r="Z114" s="50">
        <f>ROUND(IF(AQ114="5",BJ114,0),2)</f>
      </c>
      <c r="AB114" s="50">
        <f>ROUND(IF(AQ114="1",BH114,0),2)</f>
      </c>
      <c r="AC114" s="50">
        <f>ROUND(IF(AQ114="1",BI114,0),2)</f>
      </c>
      <c r="AD114" s="50">
        <f>ROUND(IF(AQ114="7",BH114,0),2)</f>
      </c>
      <c r="AE114" s="50">
        <f>ROUND(IF(AQ114="7",BI114,0),2)</f>
      </c>
      <c r="AF114" s="50">
        <f>ROUND(IF(AQ114="2",BH114,0),2)</f>
      </c>
      <c r="AG114" s="50">
        <f>ROUND(IF(AQ114="2",BI114,0),2)</f>
      </c>
      <c r="AH114" s="50">
        <f>ROUND(IF(AQ114="0",BJ114,0),2)</f>
      </c>
      <c r="AI114" s="32" t="s">
        <v>47</v>
      </c>
      <c r="AJ114" s="50">
        <f>IF(AN114=0,J114,0)</f>
      </c>
      <c r="AK114" s="50">
        <f>IF(AN114=12,J114,0)</f>
      </c>
      <c r="AL114" s="50">
        <f>IF(AN114=21,J114,0)</f>
      </c>
      <c r="AN114" s="50" t="n">
        <v>21</v>
      </c>
      <c r="AO114" s="50">
        <f>G114*0.284296231</f>
      </c>
      <c r="AP114" s="50">
        <f>G114*(1-0.284296231)</f>
      </c>
      <c r="AQ114" s="53" t="s">
        <v>84</v>
      </c>
      <c r="AV114" s="50">
        <f>ROUND(AW114+AX114,2)</f>
      </c>
      <c r="AW114" s="50">
        <f>ROUND(F114*AO114,2)</f>
      </c>
      <c r="AX114" s="50">
        <f>ROUND(F114*AP114,2)</f>
      </c>
      <c r="AY114" s="53" t="s">
        <v>314</v>
      </c>
      <c r="AZ114" s="53" t="s">
        <v>279</v>
      </c>
      <c r="BA114" s="32" t="s">
        <v>57</v>
      </c>
      <c r="BC114" s="50">
        <f>AW114+AX114</f>
      </c>
      <c r="BD114" s="50">
        <f>G114/(100-BE114)*100</f>
      </c>
      <c r="BE114" s="50" t="n">
        <v>0</v>
      </c>
      <c r="BF114" s="50">
        <f>114</f>
      </c>
      <c r="BH114" s="50">
        <f>F114*AO114</f>
      </c>
      <c r="BI114" s="50">
        <f>F114*AP114</f>
      </c>
      <c r="BJ114" s="50">
        <f>F114*G114</f>
      </c>
      <c r="BK114" s="53" t="s">
        <v>58</v>
      </c>
      <c r="BL114" s="50" t="n">
        <v>776</v>
      </c>
      <c r="BW114" s="50" t="n">
        <v>21</v>
      </c>
      <c r="BX114" s="16" t="s">
        <v>334</v>
      </c>
    </row>
    <row r="115" customHeight="true" ht="13.5">
      <c r="A115" s="54"/>
      <c r="C115" s="55" t="s">
        <v>335</v>
      </c>
      <c r="D115" s="56"/>
      <c r="E115" s="56"/>
      <c r="F115" s="56"/>
      <c r="G115" s="57"/>
      <c r="H115" s="56"/>
      <c r="I115" s="56"/>
      <c r="J115" s="56"/>
      <c r="K115" s="58"/>
    </row>
    <row r="116" ht="24.75">
      <c r="A116" s="10" t="s">
        <v>336</v>
      </c>
      <c r="B116" s="11" t="s">
        <v>337</v>
      </c>
      <c r="C116" s="16" t="s">
        <v>338</v>
      </c>
      <c r="D116" s="11"/>
      <c r="E116" s="11" t="s">
        <v>65</v>
      </c>
      <c r="F116" s="50" t="n">
        <v>215.188</v>
      </c>
      <c r="G116" s="51" t="n">
        <v>0</v>
      </c>
      <c r="H116" s="50">
        <f>ROUND(F116*AO116,2)</f>
      </c>
      <c r="I116" s="50">
        <f>ROUND(F116*AP116,2)</f>
      </c>
      <c r="J116" s="50">
        <f>ROUND(F116*G116,2)</f>
      </c>
      <c r="K116" s="52" t="s">
        <v>54</v>
      </c>
      <c r="Z116" s="50">
        <f>ROUND(IF(AQ116="5",BJ116,0),2)</f>
      </c>
      <c r="AB116" s="50">
        <f>ROUND(IF(AQ116="1",BH116,0),2)</f>
      </c>
      <c r="AC116" s="50">
        <f>ROUND(IF(AQ116="1",BI116,0),2)</f>
      </c>
      <c r="AD116" s="50">
        <f>ROUND(IF(AQ116="7",BH116,0),2)</f>
      </c>
      <c r="AE116" s="50">
        <f>ROUND(IF(AQ116="7",BI116,0),2)</f>
      </c>
      <c r="AF116" s="50">
        <f>ROUND(IF(AQ116="2",BH116,0),2)</f>
      </c>
      <c r="AG116" s="50">
        <f>ROUND(IF(AQ116="2",BI116,0),2)</f>
      </c>
      <c r="AH116" s="50">
        <f>ROUND(IF(AQ116="0",BJ116,0),2)</f>
      </c>
      <c r="AI116" s="32" t="s">
        <v>47</v>
      </c>
      <c r="AJ116" s="50">
        <f>IF(AN116=0,J116,0)</f>
      </c>
      <c r="AK116" s="50">
        <f>IF(AN116=12,J116,0)</f>
      </c>
      <c r="AL116" s="50">
        <f>IF(AN116=21,J116,0)</f>
      </c>
      <c r="AN116" s="50" t="n">
        <v>21</v>
      </c>
      <c r="AO116" s="50">
        <f>G116*1</f>
      </c>
      <c r="AP116" s="50">
        <f>G116*(1-1)</f>
      </c>
      <c r="AQ116" s="53" t="s">
        <v>84</v>
      </c>
      <c r="AV116" s="50">
        <f>ROUND(AW116+AX116,2)</f>
      </c>
      <c r="AW116" s="50">
        <f>ROUND(F116*AO116,2)</f>
      </c>
      <c r="AX116" s="50">
        <f>ROUND(F116*AP116,2)</f>
      </c>
      <c r="AY116" s="53" t="s">
        <v>314</v>
      </c>
      <c r="AZ116" s="53" t="s">
        <v>279</v>
      </c>
      <c r="BA116" s="32" t="s">
        <v>57</v>
      </c>
      <c r="BC116" s="50">
        <f>AW116+AX116</f>
      </c>
      <c r="BD116" s="50">
        <f>G116/(100-BE116)*100</f>
      </c>
      <c r="BE116" s="50" t="n">
        <v>0</v>
      </c>
      <c r="BF116" s="50">
        <f>116</f>
      </c>
      <c r="BH116" s="50">
        <f>F116*AO116</f>
      </c>
      <c r="BI116" s="50">
        <f>F116*AP116</f>
      </c>
      <c r="BJ116" s="50">
        <f>F116*G116</f>
      </c>
      <c r="BK116" s="53" t="s">
        <v>73</v>
      </c>
      <c r="BL116" s="50" t="n">
        <v>776</v>
      </c>
      <c r="BW116" s="50" t="n">
        <v>21</v>
      </c>
      <c r="BX116" s="16" t="s">
        <v>338</v>
      </c>
    </row>
    <row r="117">
      <c r="A117" s="10" t="s">
        <v>339</v>
      </c>
      <c r="B117" s="11" t="s">
        <v>340</v>
      </c>
      <c r="C117" s="16" t="s">
        <v>341</v>
      </c>
      <c r="D117" s="11"/>
      <c r="E117" s="11" t="s">
        <v>272</v>
      </c>
      <c r="F117" s="50" t="n">
        <v>1.2124</v>
      </c>
      <c r="G117" s="51" t="n">
        <v>0</v>
      </c>
      <c r="H117" s="50">
        <f>ROUND(F117*AO117,2)</f>
      </c>
      <c r="I117" s="50">
        <f>ROUND(F117*AP117,2)</f>
      </c>
      <c r="J117" s="50">
        <f>ROUND(F117*G117,2)</f>
      </c>
      <c r="K117" s="52" t="s">
        <v>54</v>
      </c>
      <c r="Z117" s="50">
        <f>ROUND(IF(AQ117="5",BJ117,0),2)</f>
      </c>
      <c r="AB117" s="50">
        <f>ROUND(IF(AQ117="1",BH117,0),2)</f>
      </c>
      <c r="AC117" s="50">
        <f>ROUND(IF(AQ117="1",BI117,0),2)</f>
      </c>
      <c r="AD117" s="50">
        <f>ROUND(IF(AQ117="7",BH117,0),2)</f>
      </c>
      <c r="AE117" s="50">
        <f>ROUND(IF(AQ117="7",BI117,0),2)</f>
      </c>
      <c r="AF117" s="50">
        <f>ROUND(IF(AQ117="2",BH117,0),2)</f>
      </c>
      <c r="AG117" s="50">
        <f>ROUND(IF(AQ117="2",BI117,0),2)</f>
      </c>
      <c r="AH117" s="50">
        <f>ROUND(IF(AQ117="0",BJ117,0),2)</f>
      </c>
      <c r="AI117" s="32" t="s">
        <v>47</v>
      </c>
      <c r="AJ117" s="50">
        <f>IF(AN117=0,J117,0)</f>
      </c>
      <c r="AK117" s="50">
        <f>IF(AN117=12,J117,0)</f>
      </c>
      <c r="AL117" s="50">
        <f>IF(AN117=21,J117,0)</f>
      </c>
      <c r="AN117" s="50" t="n">
        <v>21</v>
      </c>
      <c r="AO117" s="50">
        <f>G117*0</f>
      </c>
      <c r="AP117" s="50">
        <f>G117*(1-0)</f>
      </c>
      <c r="AQ117" s="53" t="s">
        <v>74</v>
      </c>
      <c r="AV117" s="50">
        <f>ROUND(AW117+AX117,2)</f>
      </c>
      <c r="AW117" s="50">
        <f>ROUND(F117*AO117,2)</f>
      </c>
      <c r="AX117" s="50">
        <f>ROUND(F117*AP117,2)</f>
      </c>
      <c r="AY117" s="53" t="s">
        <v>314</v>
      </c>
      <c r="AZ117" s="53" t="s">
        <v>279</v>
      </c>
      <c r="BA117" s="32" t="s">
        <v>57</v>
      </c>
      <c r="BC117" s="50">
        <f>AW117+AX117</f>
      </c>
      <c r="BD117" s="50">
        <f>G117/(100-BE117)*100</f>
      </c>
      <c r="BE117" s="50" t="n">
        <v>0</v>
      </c>
      <c r="BF117" s="50">
        <f>117</f>
      </c>
      <c r="BH117" s="50">
        <f>F117*AO117</f>
      </c>
      <c r="BI117" s="50">
        <f>F117*AP117</f>
      </c>
      <c r="BJ117" s="50">
        <f>F117*G117</f>
      </c>
      <c r="BK117" s="53" t="s">
        <v>58</v>
      </c>
      <c r="BL117" s="50" t="n">
        <v>776</v>
      </c>
      <c r="BW117" s="50" t="n">
        <v>21</v>
      </c>
      <c r="BX117" s="16" t="s">
        <v>341</v>
      </c>
    </row>
    <row r="118">
      <c r="A118" s="59" t="s">
        <v>47</v>
      </c>
      <c r="B118" s="60" t="s">
        <v>342</v>
      </c>
      <c r="C118" s="61" t="s">
        <v>343</v>
      </c>
      <c r="D118" s="60"/>
      <c r="E118" s="62" t="s">
        <v>4</v>
      </c>
      <c r="F118" s="62" t="s">
        <v>4</v>
      </c>
      <c r="G118" s="63" t="s">
        <v>4</v>
      </c>
      <c r="H118" s="2">
        <f>SUM(H119:H126)</f>
      </c>
      <c r="I118" s="2">
        <f>SUM(I119:I126)</f>
      </c>
      <c r="J118" s="2">
        <f>SUM(J119:J126)</f>
      </c>
      <c r="K118" s="64" t="s">
        <v>47</v>
      </c>
      <c r="AI118" s="32" t="s">
        <v>47</v>
      </c>
      <c r="AS118" s="2">
        <f>SUM(AJ119:AJ126)</f>
      </c>
      <c r="AT118" s="2">
        <f>SUM(AK119:AK126)</f>
      </c>
      <c r="AU118" s="2">
        <f>SUM(AL119:AL126)</f>
      </c>
    </row>
    <row r="119">
      <c r="A119" s="10" t="s">
        <v>344</v>
      </c>
      <c r="B119" s="11" t="s">
        <v>345</v>
      </c>
      <c r="C119" s="16" t="s">
        <v>346</v>
      </c>
      <c r="D119" s="11"/>
      <c r="E119" s="11" t="s">
        <v>65</v>
      </c>
      <c r="F119" s="50" t="n">
        <v>54.24195</v>
      </c>
      <c r="G119" s="51" t="n">
        <v>0</v>
      </c>
      <c r="H119" s="50">
        <f>ROUND(F119*AO119,2)</f>
      </c>
      <c r="I119" s="50">
        <f>ROUND(F119*AP119,2)</f>
      </c>
      <c r="J119" s="50">
        <f>ROUND(F119*G119,2)</f>
      </c>
      <c r="K119" s="52" t="s">
        <v>54</v>
      </c>
      <c r="Z119" s="50">
        <f>ROUND(IF(AQ119="5",BJ119,0),2)</f>
      </c>
      <c r="AB119" s="50">
        <f>ROUND(IF(AQ119="1",BH119,0),2)</f>
      </c>
      <c r="AC119" s="50">
        <f>ROUND(IF(AQ119="1",BI119,0),2)</f>
      </c>
      <c r="AD119" s="50">
        <f>ROUND(IF(AQ119="7",BH119,0),2)</f>
      </c>
      <c r="AE119" s="50">
        <f>ROUND(IF(AQ119="7",BI119,0),2)</f>
      </c>
      <c r="AF119" s="50">
        <f>ROUND(IF(AQ119="2",BH119,0),2)</f>
      </c>
      <c r="AG119" s="50">
        <f>ROUND(IF(AQ119="2",BI119,0),2)</f>
      </c>
      <c r="AH119" s="50">
        <f>ROUND(IF(AQ119="0",BJ119,0),2)</f>
      </c>
      <c r="AI119" s="32" t="s">
        <v>47</v>
      </c>
      <c r="AJ119" s="50">
        <f>IF(AN119=0,J119,0)</f>
      </c>
      <c r="AK119" s="50">
        <f>IF(AN119=12,J119,0)</f>
      </c>
      <c r="AL119" s="50">
        <f>IF(AN119=21,J119,0)</f>
      </c>
      <c r="AN119" s="50" t="n">
        <v>21</v>
      </c>
      <c r="AO119" s="50">
        <f>G119*0</f>
      </c>
      <c r="AP119" s="50">
        <f>G119*(1-0)</f>
      </c>
      <c r="AQ119" s="53" t="s">
        <v>84</v>
      </c>
      <c r="AV119" s="50">
        <f>ROUND(AW119+AX119,2)</f>
      </c>
      <c r="AW119" s="50">
        <f>ROUND(F119*AO119,2)</f>
      </c>
      <c r="AX119" s="50">
        <f>ROUND(F119*AP119,2)</f>
      </c>
      <c r="AY119" s="53" t="s">
        <v>347</v>
      </c>
      <c r="AZ119" s="53" t="s">
        <v>348</v>
      </c>
      <c r="BA119" s="32" t="s">
        <v>57</v>
      </c>
      <c r="BC119" s="50">
        <f>AW119+AX119</f>
      </c>
      <c r="BD119" s="50">
        <f>G119/(100-BE119)*100</f>
      </c>
      <c r="BE119" s="50" t="n">
        <v>0</v>
      </c>
      <c r="BF119" s="50">
        <f>119</f>
      </c>
      <c r="BH119" s="50">
        <f>F119*AO119</f>
      </c>
      <c r="BI119" s="50">
        <f>F119*AP119</f>
      </c>
      <c r="BJ119" s="50">
        <f>F119*G119</f>
      </c>
      <c r="BK119" s="53" t="s">
        <v>58</v>
      </c>
      <c r="BL119" s="50" t="n">
        <v>781</v>
      </c>
      <c r="BW119" s="50" t="n">
        <v>21</v>
      </c>
      <c r="BX119" s="16" t="s">
        <v>346</v>
      </c>
    </row>
    <row r="120">
      <c r="A120" s="10" t="s">
        <v>349</v>
      </c>
      <c r="B120" s="11" t="s">
        <v>350</v>
      </c>
      <c r="C120" s="16" t="s">
        <v>351</v>
      </c>
      <c r="D120" s="11"/>
      <c r="E120" s="11" t="s">
        <v>65</v>
      </c>
      <c r="F120" s="50" t="n">
        <v>54.24195</v>
      </c>
      <c r="G120" s="51" t="n">
        <v>0</v>
      </c>
      <c r="H120" s="50">
        <f>ROUND(F120*AO120,2)</f>
      </c>
      <c r="I120" s="50">
        <f>ROUND(F120*AP120,2)</f>
      </c>
      <c r="J120" s="50">
        <f>ROUND(F120*G120,2)</f>
      </c>
      <c r="K120" s="52" t="s">
        <v>54</v>
      </c>
      <c r="Z120" s="50">
        <f>ROUND(IF(AQ120="5",BJ120,0),2)</f>
      </c>
      <c r="AB120" s="50">
        <f>ROUND(IF(AQ120="1",BH120,0),2)</f>
      </c>
      <c r="AC120" s="50">
        <f>ROUND(IF(AQ120="1",BI120,0),2)</f>
      </c>
      <c r="AD120" s="50">
        <f>ROUND(IF(AQ120="7",BH120,0),2)</f>
      </c>
      <c r="AE120" s="50">
        <f>ROUND(IF(AQ120="7",BI120,0),2)</f>
      </c>
      <c r="AF120" s="50">
        <f>ROUND(IF(AQ120="2",BH120,0),2)</f>
      </c>
      <c r="AG120" s="50">
        <f>ROUND(IF(AQ120="2",BI120,0),2)</f>
      </c>
      <c r="AH120" s="50">
        <f>ROUND(IF(AQ120="0",BJ120,0),2)</f>
      </c>
      <c r="AI120" s="32" t="s">
        <v>47</v>
      </c>
      <c r="AJ120" s="50">
        <f>IF(AN120=0,J120,0)</f>
      </c>
      <c r="AK120" s="50">
        <f>IF(AN120=12,J120,0)</f>
      </c>
      <c r="AL120" s="50">
        <f>IF(AN120=21,J120,0)</f>
      </c>
      <c r="AN120" s="50" t="n">
        <v>21</v>
      </c>
      <c r="AO120" s="50">
        <f>G120*0.422534272</f>
      </c>
      <c r="AP120" s="50">
        <f>G120*(1-0.422534272)</f>
      </c>
      <c r="AQ120" s="53" t="s">
        <v>84</v>
      </c>
      <c r="AV120" s="50">
        <f>ROUND(AW120+AX120,2)</f>
      </c>
      <c r="AW120" s="50">
        <f>ROUND(F120*AO120,2)</f>
      </c>
      <c r="AX120" s="50">
        <f>ROUND(F120*AP120,2)</f>
      </c>
      <c r="AY120" s="53" t="s">
        <v>347</v>
      </c>
      <c r="AZ120" s="53" t="s">
        <v>348</v>
      </c>
      <c r="BA120" s="32" t="s">
        <v>57</v>
      </c>
      <c r="BC120" s="50">
        <f>AW120+AX120</f>
      </c>
      <c r="BD120" s="50">
        <f>G120/(100-BE120)*100</f>
      </c>
      <c r="BE120" s="50" t="n">
        <v>0</v>
      </c>
      <c r="BF120" s="50">
        <f>120</f>
      </c>
      <c r="BH120" s="50">
        <f>F120*AO120</f>
      </c>
      <c r="BI120" s="50">
        <f>F120*AP120</f>
      </c>
      <c r="BJ120" s="50">
        <f>F120*G120</f>
      </c>
      <c r="BK120" s="53" t="s">
        <v>58</v>
      </c>
      <c r="BL120" s="50" t="n">
        <v>781</v>
      </c>
      <c r="BW120" s="50" t="n">
        <v>21</v>
      </c>
      <c r="BX120" s="16" t="s">
        <v>351</v>
      </c>
    </row>
    <row r="121">
      <c r="A121" s="10" t="s">
        <v>352</v>
      </c>
      <c r="B121" s="11" t="s">
        <v>353</v>
      </c>
      <c r="C121" s="16" t="s">
        <v>354</v>
      </c>
      <c r="D121" s="11"/>
      <c r="E121" s="11" t="s">
        <v>53</v>
      </c>
      <c r="F121" s="50" t="n">
        <v>10</v>
      </c>
      <c r="G121" s="51" t="n">
        <v>0</v>
      </c>
      <c r="H121" s="50">
        <f>ROUND(F121*AO121,2)</f>
      </c>
      <c r="I121" s="50">
        <f>ROUND(F121*AP121,2)</f>
      </c>
      <c r="J121" s="50">
        <f>ROUND(F121*G121,2)</f>
      </c>
      <c r="K121" s="52" t="s">
        <v>54</v>
      </c>
      <c r="Z121" s="50">
        <f>ROUND(IF(AQ121="5",BJ121,0),2)</f>
      </c>
      <c r="AB121" s="50">
        <f>ROUND(IF(AQ121="1",BH121,0),2)</f>
      </c>
      <c r="AC121" s="50">
        <f>ROUND(IF(AQ121="1",BI121,0),2)</f>
      </c>
      <c r="AD121" s="50">
        <f>ROUND(IF(AQ121="7",BH121,0),2)</f>
      </c>
      <c r="AE121" s="50">
        <f>ROUND(IF(AQ121="7",BI121,0),2)</f>
      </c>
      <c r="AF121" s="50">
        <f>ROUND(IF(AQ121="2",BH121,0),2)</f>
      </c>
      <c r="AG121" s="50">
        <f>ROUND(IF(AQ121="2",BI121,0),2)</f>
      </c>
      <c r="AH121" s="50">
        <f>ROUND(IF(AQ121="0",BJ121,0),2)</f>
      </c>
      <c r="AI121" s="32" t="s">
        <v>47</v>
      </c>
      <c r="AJ121" s="50">
        <f>IF(AN121=0,J121,0)</f>
      </c>
      <c r="AK121" s="50">
        <f>IF(AN121=12,J121,0)</f>
      </c>
      <c r="AL121" s="50">
        <f>IF(AN121=21,J121,0)</f>
      </c>
      <c r="AN121" s="50" t="n">
        <v>21</v>
      </c>
      <c r="AO121" s="50">
        <f>G121*0.051656442</f>
      </c>
      <c r="AP121" s="50">
        <f>G121*(1-0.051656442)</f>
      </c>
      <c r="AQ121" s="53" t="s">
        <v>84</v>
      </c>
      <c r="AV121" s="50">
        <f>ROUND(AW121+AX121,2)</f>
      </c>
      <c r="AW121" s="50">
        <f>ROUND(F121*AO121,2)</f>
      </c>
      <c r="AX121" s="50">
        <f>ROUND(F121*AP121,2)</f>
      </c>
      <c r="AY121" s="53" t="s">
        <v>347</v>
      </c>
      <c r="AZ121" s="53" t="s">
        <v>348</v>
      </c>
      <c r="BA121" s="32" t="s">
        <v>57</v>
      </c>
      <c r="BC121" s="50">
        <f>AW121+AX121</f>
      </c>
      <c r="BD121" s="50">
        <f>G121/(100-BE121)*100</f>
      </c>
      <c r="BE121" s="50" t="n">
        <v>0</v>
      </c>
      <c r="BF121" s="50">
        <f>121</f>
      </c>
      <c r="BH121" s="50">
        <f>F121*AO121</f>
      </c>
      <c r="BI121" s="50">
        <f>F121*AP121</f>
      </c>
      <c r="BJ121" s="50">
        <f>F121*G121</f>
      </c>
      <c r="BK121" s="53" t="s">
        <v>58</v>
      </c>
      <c r="BL121" s="50" t="n">
        <v>781</v>
      </c>
      <c r="BW121" s="50" t="n">
        <v>21</v>
      </c>
      <c r="BX121" s="16" t="s">
        <v>354</v>
      </c>
    </row>
    <row r="122">
      <c r="A122" s="10" t="s">
        <v>355</v>
      </c>
      <c r="B122" s="11" t="s">
        <v>356</v>
      </c>
      <c r="C122" s="16" t="s">
        <v>357</v>
      </c>
      <c r="D122" s="11"/>
      <c r="E122" s="11" t="s">
        <v>65</v>
      </c>
      <c r="F122" s="50" t="n">
        <v>54.24195</v>
      </c>
      <c r="G122" s="51" t="n">
        <v>0</v>
      </c>
      <c r="H122" s="50">
        <f>ROUND(F122*AO122,2)</f>
      </c>
      <c r="I122" s="50">
        <f>ROUND(F122*AP122,2)</f>
      </c>
      <c r="J122" s="50">
        <f>ROUND(F122*G122,2)</f>
      </c>
      <c r="K122" s="52" t="s">
        <v>54</v>
      </c>
      <c r="Z122" s="50">
        <f>ROUND(IF(AQ122="5",BJ122,0),2)</f>
      </c>
      <c r="AB122" s="50">
        <f>ROUND(IF(AQ122="1",BH122,0),2)</f>
      </c>
      <c r="AC122" s="50">
        <f>ROUND(IF(AQ122="1",BI122,0),2)</f>
      </c>
      <c r="AD122" s="50">
        <f>ROUND(IF(AQ122="7",BH122,0),2)</f>
      </c>
      <c r="AE122" s="50">
        <f>ROUND(IF(AQ122="7",BI122,0),2)</f>
      </c>
      <c r="AF122" s="50">
        <f>ROUND(IF(AQ122="2",BH122,0),2)</f>
      </c>
      <c r="AG122" s="50">
        <f>ROUND(IF(AQ122="2",BI122,0),2)</f>
      </c>
      <c r="AH122" s="50">
        <f>ROUND(IF(AQ122="0",BJ122,0),2)</f>
      </c>
      <c r="AI122" s="32" t="s">
        <v>47</v>
      </c>
      <c r="AJ122" s="50">
        <f>IF(AN122=0,J122,0)</f>
      </c>
      <c r="AK122" s="50">
        <f>IF(AN122=12,J122,0)</f>
      </c>
      <c r="AL122" s="50">
        <f>IF(AN122=21,J122,0)</f>
      </c>
      <c r="AN122" s="50" t="n">
        <v>21</v>
      </c>
      <c r="AO122" s="50">
        <f>G122*0.137912979</f>
      </c>
      <c r="AP122" s="50">
        <f>G122*(1-0.137912979)</f>
      </c>
      <c r="AQ122" s="53" t="s">
        <v>84</v>
      </c>
      <c r="AV122" s="50">
        <f>ROUND(AW122+AX122,2)</f>
      </c>
      <c r="AW122" s="50">
        <f>ROUND(F122*AO122,2)</f>
      </c>
      <c r="AX122" s="50">
        <f>ROUND(F122*AP122,2)</f>
      </c>
      <c r="AY122" s="53" t="s">
        <v>347</v>
      </c>
      <c r="AZ122" s="53" t="s">
        <v>348</v>
      </c>
      <c r="BA122" s="32" t="s">
        <v>57</v>
      </c>
      <c r="BC122" s="50">
        <f>AW122+AX122</f>
      </c>
      <c r="BD122" s="50">
        <f>G122/(100-BE122)*100</f>
      </c>
      <c r="BE122" s="50" t="n">
        <v>0</v>
      </c>
      <c r="BF122" s="50">
        <f>122</f>
      </c>
      <c r="BH122" s="50">
        <f>F122*AO122</f>
      </c>
      <c r="BI122" s="50">
        <f>F122*AP122</f>
      </c>
      <c r="BJ122" s="50">
        <f>F122*G122</f>
      </c>
      <c r="BK122" s="53" t="s">
        <v>58</v>
      </c>
      <c r="BL122" s="50" t="n">
        <v>781</v>
      </c>
      <c r="BW122" s="50" t="n">
        <v>21</v>
      </c>
      <c r="BX122" s="16" t="s">
        <v>357</v>
      </c>
    </row>
    <row r="123">
      <c r="A123" s="10" t="s">
        <v>358</v>
      </c>
      <c r="B123" s="11" t="s">
        <v>359</v>
      </c>
      <c r="C123" s="16" t="s">
        <v>360</v>
      </c>
      <c r="D123" s="11"/>
      <c r="E123" s="11" t="s">
        <v>65</v>
      </c>
      <c r="F123" s="50" t="n">
        <v>54.24195</v>
      </c>
      <c r="G123" s="51" t="n">
        <v>0</v>
      </c>
      <c r="H123" s="50">
        <f>ROUND(F123*AO123,2)</f>
      </c>
      <c r="I123" s="50">
        <f>ROUND(F123*AP123,2)</f>
      </c>
      <c r="J123" s="50">
        <f>ROUND(F123*G123,2)</f>
      </c>
      <c r="K123" s="52" t="s">
        <v>54</v>
      </c>
      <c r="Z123" s="50">
        <f>ROUND(IF(AQ123="5",BJ123,0),2)</f>
      </c>
      <c r="AB123" s="50">
        <f>ROUND(IF(AQ123="1",BH123,0),2)</f>
      </c>
      <c r="AC123" s="50">
        <f>ROUND(IF(AQ123="1",BI123,0),2)</f>
      </c>
      <c r="AD123" s="50">
        <f>ROUND(IF(AQ123="7",BH123,0),2)</f>
      </c>
      <c r="AE123" s="50">
        <f>ROUND(IF(AQ123="7",BI123,0),2)</f>
      </c>
      <c r="AF123" s="50">
        <f>ROUND(IF(AQ123="2",BH123,0),2)</f>
      </c>
      <c r="AG123" s="50">
        <f>ROUND(IF(AQ123="2",BI123,0),2)</f>
      </c>
      <c r="AH123" s="50">
        <f>ROUND(IF(AQ123="0",BJ123,0),2)</f>
      </c>
      <c r="AI123" s="32" t="s">
        <v>47</v>
      </c>
      <c r="AJ123" s="50">
        <f>IF(AN123=0,J123,0)</f>
      </c>
      <c r="AK123" s="50">
        <f>IF(AN123=12,J123,0)</f>
      </c>
      <c r="AL123" s="50">
        <f>IF(AN123=21,J123,0)</f>
      </c>
      <c r="AN123" s="50" t="n">
        <v>21</v>
      </c>
      <c r="AO123" s="50">
        <f>G123*1</f>
      </c>
      <c r="AP123" s="50">
        <f>G123*(1-1)</f>
      </c>
      <c r="AQ123" s="53" t="s">
        <v>84</v>
      </c>
      <c r="AV123" s="50">
        <f>ROUND(AW123+AX123,2)</f>
      </c>
      <c r="AW123" s="50">
        <f>ROUND(F123*AO123,2)</f>
      </c>
      <c r="AX123" s="50">
        <f>ROUND(F123*AP123,2)</f>
      </c>
      <c r="AY123" s="53" t="s">
        <v>347</v>
      </c>
      <c r="AZ123" s="53" t="s">
        <v>348</v>
      </c>
      <c r="BA123" s="32" t="s">
        <v>57</v>
      </c>
      <c r="BC123" s="50">
        <f>AW123+AX123</f>
      </c>
      <c r="BD123" s="50">
        <f>G123/(100-BE123)*100</f>
      </c>
      <c r="BE123" s="50" t="n">
        <v>0</v>
      </c>
      <c r="BF123" s="50">
        <f>123</f>
      </c>
      <c r="BH123" s="50">
        <f>F123*AO123</f>
      </c>
      <c r="BI123" s="50">
        <f>F123*AP123</f>
      </c>
      <c r="BJ123" s="50">
        <f>F123*G123</f>
      </c>
      <c r="BK123" s="53" t="s">
        <v>58</v>
      </c>
      <c r="BL123" s="50" t="n">
        <v>781</v>
      </c>
      <c r="BW123" s="50" t="n">
        <v>21</v>
      </c>
      <c r="BX123" s="16" t="s">
        <v>360</v>
      </c>
    </row>
    <row r="124">
      <c r="A124" s="10" t="s">
        <v>361</v>
      </c>
      <c r="B124" s="11" t="s">
        <v>362</v>
      </c>
      <c r="C124" s="16" t="s">
        <v>363</v>
      </c>
      <c r="D124" s="11"/>
      <c r="E124" s="11" t="s">
        <v>95</v>
      </c>
      <c r="F124" s="50" t="n">
        <v>10.75</v>
      </c>
      <c r="G124" s="51" t="n">
        <v>0</v>
      </c>
      <c r="H124" s="50">
        <f>ROUND(F124*AO124,2)</f>
      </c>
      <c r="I124" s="50">
        <f>ROUND(F124*AP124,2)</f>
      </c>
      <c r="J124" s="50">
        <f>ROUND(F124*G124,2)</f>
      </c>
      <c r="K124" s="52" t="s">
        <v>54</v>
      </c>
      <c r="Z124" s="50">
        <f>ROUND(IF(AQ124="5",BJ124,0),2)</f>
      </c>
      <c r="AB124" s="50">
        <f>ROUND(IF(AQ124="1",BH124,0),2)</f>
      </c>
      <c r="AC124" s="50">
        <f>ROUND(IF(AQ124="1",BI124,0),2)</f>
      </c>
      <c r="AD124" s="50">
        <f>ROUND(IF(AQ124="7",BH124,0),2)</f>
      </c>
      <c r="AE124" s="50">
        <f>ROUND(IF(AQ124="7",BI124,0),2)</f>
      </c>
      <c r="AF124" s="50">
        <f>ROUND(IF(AQ124="2",BH124,0),2)</f>
      </c>
      <c r="AG124" s="50">
        <f>ROUND(IF(AQ124="2",BI124,0),2)</f>
      </c>
      <c r="AH124" s="50">
        <f>ROUND(IF(AQ124="0",BJ124,0),2)</f>
      </c>
      <c r="AI124" s="32" t="s">
        <v>47</v>
      </c>
      <c r="AJ124" s="50">
        <f>IF(AN124=0,J124,0)</f>
      </c>
      <c r="AK124" s="50">
        <f>IF(AN124=12,J124,0)</f>
      </c>
      <c r="AL124" s="50">
        <f>IF(AN124=21,J124,0)</f>
      </c>
      <c r="AN124" s="50" t="n">
        <v>21</v>
      </c>
      <c r="AO124" s="50">
        <f>G124*0.837333592</f>
      </c>
      <c r="AP124" s="50">
        <f>G124*(1-0.837333592)</f>
      </c>
      <c r="AQ124" s="53" t="s">
        <v>84</v>
      </c>
      <c r="AV124" s="50">
        <f>ROUND(AW124+AX124,2)</f>
      </c>
      <c r="AW124" s="50">
        <f>ROUND(F124*AO124,2)</f>
      </c>
      <c r="AX124" s="50">
        <f>ROUND(F124*AP124,2)</f>
      </c>
      <c r="AY124" s="53" t="s">
        <v>347</v>
      </c>
      <c r="AZ124" s="53" t="s">
        <v>348</v>
      </c>
      <c r="BA124" s="32" t="s">
        <v>57</v>
      </c>
      <c r="BC124" s="50">
        <f>AW124+AX124</f>
      </c>
      <c r="BD124" s="50">
        <f>G124/(100-BE124)*100</f>
      </c>
      <c r="BE124" s="50" t="n">
        <v>0</v>
      </c>
      <c r="BF124" s="50">
        <f>124</f>
      </c>
      <c r="BH124" s="50">
        <f>F124*AO124</f>
      </c>
      <c r="BI124" s="50">
        <f>F124*AP124</f>
      </c>
      <c r="BJ124" s="50">
        <f>F124*G124</f>
      </c>
      <c r="BK124" s="53" t="s">
        <v>58</v>
      </c>
      <c r="BL124" s="50" t="n">
        <v>781</v>
      </c>
      <c r="BW124" s="50" t="n">
        <v>21</v>
      </c>
      <c r="BX124" s="16" t="s">
        <v>363</v>
      </c>
    </row>
    <row r="125">
      <c r="A125" s="10" t="s">
        <v>364</v>
      </c>
      <c r="B125" s="11" t="s">
        <v>304</v>
      </c>
      <c r="C125" s="16" t="s">
        <v>305</v>
      </c>
      <c r="D125" s="11"/>
      <c r="E125" s="11" t="s">
        <v>65</v>
      </c>
      <c r="F125" s="50" t="n">
        <v>62.37824</v>
      </c>
      <c r="G125" s="51" t="n">
        <v>0</v>
      </c>
      <c r="H125" s="50">
        <f>ROUND(F125*AO125,2)</f>
      </c>
      <c r="I125" s="50">
        <f>ROUND(F125*AP125,2)</f>
      </c>
      <c r="J125" s="50">
        <f>ROUND(F125*G125,2)</f>
      </c>
      <c r="K125" s="52" t="s">
        <v>54</v>
      </c>
      <c r="Z125" s="50">
        <f>ROUND(IF(AQ125="5",BJ125,0),2)</f>
      </c>
      <c r="AB125" s="50">
        <f>ROUND(IF(AQ125="1",BH125,0),2)</f>
      </c>
      <c r="AC125" s="50">
        <f>ROUND(IF(AQ125="1",BI125,0),2)</f>
      </c>
      <c r="AD125" s="50">
        <f>ROUND(IF(AQ125="7",BH125,0),2)</f>
      </c>
      <c r="AE125" s="50">
        <f>ROUND(IF(AQ125="7",BI125,0),2)</f>
      </c>
      <c r="AF125" s="50">
        <f>ROUND(IF(AQ125="2",BH125,0),2)</f>
      </c>
      <c r="AG125" s="50">
        <f>ROUND(IF(AQ125="2",BI125,0),2)</f>
      </c>
      <c r="AH125" s="50">
        <f>ROUND(IF(AQ125="0",BJ125,0),2)</f>
      </c>
      <c r="AI125" s="32" t="s">
        <v>47</v>
      </c>
      <c r="AJ125" s="50">
        <f>IF(AN125=0,J125,0)</f>
      </c>
      <c r="AK125" s="50">
        <f>IF(AN125=12,J125,0)</f>
      </c>
      <c r="AL125" s="50">
        <f>IF(AN125=21,J125,0)</f>
      </c>
      <c r="AN125" s="50" t="n">
        <v>21</v>
      </c>
      <c r="AO125" s="50">
        <f>G125*1</f>
      </c>
      <c r="AP125" s="50">
        <f>G125*(1-1)</f>
      </c>
      <c r="AQ125" s="53" t="s">
        <v>84</v>
      </c>
      <c r="AV125" s="50">
        <f>ROUND(AW125+AX125,2)</f>
      </c>
      <c r="AW125" s="50">
        <f>ROUND(F125*AO125,2)</f>
      </c>
      <c r="AX125" s="50">
        <f>ROUND(F125*AP125,2)</f>
      </c>
      <c r="AY125" s="53" t="s">
        <v>347</v>
      </c>
      <c r="AZ125" s="53" t="s">
        <v>348</v>
      </c>
      <c r="BA125" s="32" t="s">
        <v>57</v>
      </c>
      <c r="BC125" s="50">
        <f>AW125+AX125</f>
      </c>
      <c r="BD125" s="50">
        <f>G125/(100-BE125)*100</f>
      </c>
      <c r="BE125" s="50" t="n">
        <v>0</v>
      </c>
      <c r="BF125" s="50">
        <f>125</f>
      </c>
      <c r="BH125" s="50">
        <f>F125*AO125</f>
      </c>
      <c r="BI125" s="50">
        <f>F125*AP125</f>
      </c>
      <c r="BJ125" s="50">
        <f>F125*G125</f>
      </c>
      <c r="BK125" s="53" t="s">
        <v>73</v>
      </c>
      <c r="BL125" s="50" t="n">
        <v>781</v>
      </c>
      <c r="BW125" s="50" t="n">
        <v>21</v>
      </c>
      <c r="BX125" s="16" t="s">
        <v>305</v>
      </c>
    </row>
    <row r="126">
      <c r="A126" s="10" t="s">
        <v>365</v>
      </c>
      <c r="B126" s="11" t="s">
        <v>366</v>
      </c>
      <c r="C126" s="16" t="s">
        <v>367</v>
      </c>
      <c r="D126" s="11"/>
      <c r="E126" s="11" t="s">
        <v>272</v>
      </c>
      <c r="F126" s="50" t="n">
        <v>1.6875</v>
      </c>
      <c r="G126" s="51" t="n">
        <v>0</v>
      </c>
      <c r="H126" s="50">
        <f>ROUND(F126*AO126,2)</f>
      </c>
      <c r="I126" s="50">
        <f>ROUND(F126*AP126,2)</f>
      </c>
      <c r="J126" s="50">
        <f>ROUND(F126*G126,2)</f>
      </c>
      <c r="K126" s="52" t="s">
        <v>54</v>
      </c>
      <c r="Z126" s="50">
        <f>ROUND(IF(AQ126="5",BJ126,0),2)</f>
      </c>
      <c r="AB126" s="50">
        <f>ROUND(IF(AQ126="1",BH126,0),2)</f>
      </c>
      <c r="AC126" s="50">
        <f>ROUND(IF(AQ126="1",BI126,0),2)</f>
      </c>
      <c r="AD126" s="50">
        <f>ROUND(IF(AQ126="7",BH126,0),2)</f>
      </c>
      <c r="AE126" s="50">
        <f>ROUND(IF(AQ126="7",BI126,0),2)</f>
      </c>
      <c r="AF126" s="50">
        <f>ROUND(IF(AQ126="2",BH126,0),2)</f>
      </c>
      <c r="AG126" s="50">
        <f>ROUND(IF(AQ126="2",BI126,0),2)</f>
      </c>
      <c r="AH126" s="50">
        <f>ROUND(IF(AQ126="0",BJ126,0),2)</f>
      </c>
      <c r="AI126" s="32" t="s">
        <v>47</v>
      </c>
      <c r="AJ126" s="50">
        <f>IF(AN126=0,J126,0)</f>
      </c>
      <c r="AK126" s="50">
        <f>IF(AN126=12,J126,0)</f>
      </c>
      <c r="AL126" s="50">
        <f>IF(AN126=21,J126,0)</f>
      </c>
      <c r="AN126" s="50" t="n">
        <v>21</v>
      </c>
      <c r="AO126" s="50">
        <f>G126*0</f>
      </c>
      <c r="AP126" s="50">
        <f>G126*(1-0)</f>
      </c>
      <c r="AQ126" s="53" t="s">
        <v>74</v>
      </c>
      <c r="AV126" s="50">
        <f>ROUND(AW126+AX126,2)</f>
      </c>
      <c r="AW126" s="50">
        <f>ROUND(F126*AO126,2)</f>
      </c>
      <c r="AX126" s="50">
        <f>ROUND(F126*AP126,2)</f>
      </c>
      <c r="AY126" s="53" t="s">
        <v>347</v>
      </c>
      <c r="AZ126" s="53" t="s">
        <v>348</v>
      </c>
      <c r="BA126" s="32" t="s">
        <v>57</v>
      </c>
      <c r="BC126" s="50">
        <f>AW126+AX126</f>
      </c>
      <c r="BD126" s="50">
        <f>G126/(100-BE126)*100</f>
      </c>
      <c r="BE126" s="50" t="n">
        <v>0</v>
      </c>
      <c r="BF126" s="50">
        <f>126</f>
      </c>
      <c r="BH126" s="50">
        <f>F126*AO126</f>
      </c>
      <c r="BI126" s="50">
        <f>F126*AP126</f>
      </c>
      <c r="BJ126" s="50">
        <f>F126*G126</f>
      </c>
      <c r="BK126" s="53" t="s">
        <v>58</v>
      </c>
      <c r="BL126" s="50" t="n">
        <v>781</v>
      </c>
      <c r="BW126" s="50" t="n">
        <v>21</v>
      </c>
      <c r="BX126" s="16" t="s">
        <v>367</v>
      </c>
    </row>
    <row r="127">
      <c r="A127" s="59" t="s">
        <v>47</v>
      </c>
      <c r="B127" s="60" t="s">
        <v>368</v>
      </c>
      <c r="C127" s="61" t="s">
        <v>369</v>
      </c>
      <c r="D127" s="60"/>
      <c r="E127" s="62" t="s">
        <v>4</v>
      </c>
      <c r="F127" s="62" t="s">
        <v>4</v>
      </c>
      <c r="G127" s="63" t="s">
        <v>4</v>
      </c>
      <c r="H127" s="2">
        <f>SUM(H128:H128)</f>
      </c>
      <c r="I127" s="2">
        <f>SUM(I128:I128)</f>
      </c>
      <c r="J127" s="2">
        <f>SUM(J128:J128)</f>
      </c>
      <c r="K127" s="64" t="s">
        <v>47</v>
      </c>
      <c r="AI127" s="32" t="s">
        <v>47</v>
      </c>
      <c r="AS127" s="2">
        <f>SUM(AJ128:AJ128)</f>
      </c>
      <c r="AT127" s="2">
        <f>SUM(AK128:AK128)</f>
      </c>
      <c r="AU127" s="2">
        <f>SUM(AL128:AL128)</f>
      </c>
    </row>
    <row r="128">
      <c r="A128" s="10" t="s">
        <v>370</v>
      </c>
      <c r="B128" s="11" t="s">
        <v>371</v>
      </c>
      <c r="C128" s="16" t="s">
        <v>372</v>
      </c>
      <c r="D128" s="11"/>
      <c r="E128" s="11" t="s">
        <v>65</v>
      </c>
      <c r="F128" s="50" t="n">
        <v>14.75361</v>
      </c>
      <c r="G128" s="51" t="n">
        <v>0</v>
      </c>
      <c r="H128" s="50">
        <f>ROUND(F128*AO128,2)</f>
      </c>
      <c r="I128" s="50">
        <f>ROUND(F128*AP128,2)</f>
      </c>
      <c r="J128" s="50">
        <f>ROUND(F128*G128,2)</f>
      </c>
      <c r="K128" s="52" t="s">
        <v>54</v>
      </c>
      <c r="Z128" s="50">
        <f>ROUND(IF(AQ128="5",BJ128,0),2)</f>
      </c>
      <c r="AB128" s="50">
        <f>ROUND(IF(AQ128="1",BH128,0),2)</f>
      </c>
      <c r="AC128" s="50">
        <f>ROUND(IF(AQ128="1",BI128,0),2)</f>
      </c>
      <c r="AD128" s="50">
        <f>ROUND(IF(AQ128="7",BH128,0),2)</f>
      </c>
      <c r="AE128" s="50">
        <f>ROUND(IF(AQ128="7",BI128,0),2)</f>
      </c>
      <c r="AF128" s="50">
        <f>ROUND(IF(AQ128="2",BH128,0),2)</f>
      </c>
      <c r="AG128" s="50">
        <f>ROUND(IF(AQ128="2",BI128,0),2)</f>
      </c>
      <c r="AH128" s="50">
        <f>ROUND(IF(AQ128="0",BJ128,0),2)</f>
      </c>
      <c r="AI128" s="32" t="s">
        <v>47</v>
      </c>
      <c r="AJ128" s="50">
        <f>IF(AN128=0,J128,0)</f>
      </c>
      <c r="AK128" s="50">
        <f>IF(AN128=12,J128,0)</f>
      </c>
      <c r="AL128" s="50">
        <f>IF(AN128=21,J128,0)</f>
      </c>
      <c r="AN128" s="50" t="n">
        <v>21</v>
      </c>
      <c r="AO128" s="50">
        <f>G128*0.487765072</f>
      </c>
      <c r="AP128" s="50">
        <f>G128*(1-0.487765072)</f>
      </c>
      <c r="AQ128" s="53" t="s">
        <v>84</v>
      </c>
      <c r="AV128" s="50">
        <f>ROUND(AW128+AX128,2)</f>
      </c>
      <c r="AW128" s="50">
        <f>ROUND(F128*AO128,2)</f>
      </c>
      <c r="AX128" s="50">
        <f>ROUND(F128*AP128,2)</f>
      </c>
      <c r="AY128" s="53" t="s">
        <v>373</v>
      </c>
      <c r="AZ128" s="53" t="s">
        <v>348</v>
      </c>
      <c r="BA128" s="32" t="s">
        <v>57</v>
      </c>
      <c r="BC128" s="50">
        <f>AW128+AX128</f>
      </c>
      <c r="BD128" s="50">
        <f>G128/(100-BE128)*100</f>
      </c>
      <c r="BE128" s="50" t="n">
        <v>0</v>
      </c>
      <c r="BF128" s="50">
        <f>128</f>
      </c>
      <c r="BH128" s="50">
        <f>F128*AO128</f>
      </c>
      <c r="BI128" s="50">
        <f>F128*AP128</f>
      </c>
      <c r="BJ128" s="50">
        <f>F128*G128</f>
      </c>
      <c r="BK128" s="53" t="s">
        <v>58</v>
      </c>
      <c r="BL128" s="50" t="n">
        <v>783</v>
      </c>
      <c r="BW128" s="50" t="n">
        <v>21</v>
      </c>
      <c r="BX128" s="16" t="s">
        <v>372</v>
      </c>
    </row>
    <row r="129">
      <c r="A129" s="59" t="s">
        <v>47</v>
      </c>
      <c r="B129" s="60" t="s">
        <v>374</v>
      </c>
      <c r="C129" s="61" t="s">
        <v>375</v>
      </c>
      <c r="D129" s="60"/>
      <c r="E129" s="62" t="s">
        <v>4</v>
      </c>
      <c r="F129" s="62" t="s">
        <v>4</v>
      </c>
      <c r="G129" s="63" t="s">
        <v>4</v>
      </c>
      <c r="H129" s="2">
        <f>SUM(H130:H132)</f>
      </c>
      <c r="I129" s="2">
        <f>SUM(I130:I132)</f>
      </c>
      <c r="J129" s="2">
        <f>SUM(J130:J132)</f>
      </c>
      <c r="K129" s="64" t="s">
        <v>47</v>
      </c>
      <c r="AI129" s="32" t="s">
        <v>47</v>
      </c>
      <c r="AS129" s="2">
        <f>SUM(AJ130:AJ132)</f>
      </c>
      <c r="AT129" s="2">
        <f>SUM(AK130:AK132)</f>
      </c>
      <c r="AU129" s="2">
        <f>SUM(AL130:AL132)</f>
      </c>
    </row>
    <row r="130">
      <c r="A130" s="10" t="s">
        <v>376</v>
      </c>
      <c r="B130" s="11" t="s">
        <v>377</v>
      </c>
      <c r="C130" s="16" t="s">
        <v>378</v>
      </c>
      <c r="D130" s="11"/>
      <c r="E130" s="11" t="s">
        <v>65</v>
      </c>
      <c r="F130" s="50" t="n">
        <v>638.45529</v>
      </c>
      <c r="G130" s="51" t="n">
        <v>0</v>
      </c>
      <c r="H130" s="50">
        <f>ROUND(F130*AO130,2)</f>
      </c>
      <c r="I130" s="50">
        <f>ROUND(F130*AP130,2)</f>
      </c>
      <c r="J130" s="50">
        <f>ROUND(F130*G130,2)</f>
      </c>
      <c r="K130" s="52" t="s">
        <v>54</v>
      </c>
      <c r="Z130" s="50">
        <f>ROUND(IF(AQ130="5",BJ130,0),2)</f>
      </c>
      <c r="AB130" s="50">
        <f>ROUND(IF(AQ130="1",BH130,0),2)</f>
      </c>
      <c r="AC130" s="50">
        <f>ROUND(IF(AQ130="1",BI130,0),2)</f>
      </c>
      <c r="AD130" s="50">
        <f>ROUND(IF(AQ130="7",BH130,0),2)</f>
      </c>
      <c r="AE130" s="50">
        <f>ROUND(IF(AQ130="7",BI130,0),2)</f>
      </c>
      <c r="AF130" s="50">
        <f>ROUND(IF(AQ130="2",BH130,0),2)</f>
      </c>
      <c r="AG130" s="50">
        <f>ROUND(IF(AQ130="2",BI130,0),2)</f>
      </c>
      <c r="AH130" s="50">
        <f>ROUND(IF(AQ130="0",BJ130,0),2)</f>
      </c>
      <c r="AI130" s="32" t="s">
        <v>47</v>
      </c>
      <c r="AJ130" s="50">
        <f>IF(AN130=0,J130,0)</f>
      </c>
      <c r="AK130" s="50">
        <f>IF(AN130=12,J130,0)</f>
      </c>
      <c r="AL130" s="50">
        <f>IF(AN130=21,J130,0)</f>
      </c>
      <c r="AN130" s="50" t="n">
        <v>21</v>
      </c>
      <c r="AO130" s="50">
        <f>G130*0.244635011</f>
      </c>
      <c r="AP130" s="50">
        <f>G130*(1-0.244635011)</f>
      </c>
      <c r="AQ130" s="53" t="s">
        <v>84</v>
      </c>
      <c r="AV130" s="50">
        <f>ROUND(AW130+AX130,2)</f>
      </c>
      <c r="AW130" s="50">
        <f>ROUND(F130*AO130,2)</f>
      </c>
      <c r="AX130" s="50">
        <f>ROUND(F130*AP130,2)</f>
      </c>
      <c r="AY130" s="53" t="s">
        <v>379</v>
      </c>
      <c r="AZ130" s="53" t="s">
        <v>348</v>
      </c>
      <c r="BA130" s="32" t="s">
        <v>57</v>
      </c>
      <c r="BC130" s="50">
        <f>AW130+AX130</f>
      </c>
      <c r="BD130" s="50">
        <f>G130/(100-BE130)*100</f>
      </c>
      <c r="BE130" s="50" t="n">
        <v>0</v>
      </c>
      <c r="BF130" s="50">
        <f>130</f>
      </c>
      <c r="BH130" s="50">
        <f>F130*AO130</f>
      </c>
      <c r="BI130" s="50">
        <f>F130*AP130</f>
      </c>
      <c r="BJ130" s="50">
        <f>F130*G130</f>
      </c>
      <c r="BK130" s="53" t="s">
        <v>58</v>
      </c>
      <c r="BL130" s="50" t="n">
        <v>784</v>
      </c>
      <c r="BW130" s="50" t="n">
        <v>21</v>
      </c>
      <c r="BX130" s="16" t="s">
        <v>378</v>
      </c>
    </row>
    <row r="131">
      <c r="A131" s="10" t="s">
        <v>380</v>
      </c>
      <c r="B131" s="11" t="s">
        <v>381</v>
      </c>
      <c r="C131" s="16" t="s">
        <v>382</v>
      </c>
      <c r="D131" s="11"/>
      <c r="E131" s="11" t="s">
        <v>65</v>
      </c>
      <c r="F131" s="50" t="n">
        <v>638.45529</v>
      </c>
      <c r="G131" s="51" t="n">
        <v>0</v>
      </c>
      <c r="H131" s="50">
        <f>ROUND(F131*AO131,2)</f>
      </c>
      <c r="I131" s="50">
        <f>ROUND(F131*AP131,2)</f>
      </c>
      <c r="J131" s="50">
        <f>ROUND(F131*G131,2)</f>
      </c>
      <c r="K131" s="52" t="s">
        <v>54</v>
      </c>
      <c r="Z131" s="50">
        <f>ROUND(IF(AQ131="5",BJ131,0),2)</f>
      </c>
      <c r="AB131" s="50">
        <f>ROUND(IF(AQ131="1",BH131,0),2)</f>
      </c>
      <c r="AC131" s="50">
        <f>ROUND(IF(AQ131="1",BI131,0),2)</f>
      </c>
      <c r="AD131" s="50">
        <f>ROUND(IF(AQ131="7",BH131,0),2)</f>
      </c>
      <c r="AE131" s="50">
        <f>ROUND(IF(AQ131="7",BI131,0),2)</f>
      </c>
      <c r="AF131" s="50">
        <f>ROUND(IF(AQ131="2",BH131,0),2)</f>
      </c>
      <c r="AG131" s="50">
        <f>ROUND(IF(AQ131="2",BI131,0),2)</f>
      </c>
      <c r="AH131" s="50">
        <f>ROUND(IF(AQ131="0",BJ131,0),2)</f>
      </c>
      <c r="AI131" s="32" t="s">
        <v>47</v>
      </c>
      <c r="AJ131" s="50">
        <f>IF(AN131=0,J131,0)</f>
      </c>
      <c r="AK131" s="50">
        <f>IF(AN131=12,J131,0)</f>
      </c>
      <c r="AL131" s="50">
        <f>IF(AN131=21,J131,0)</f>
      </c>
      <c r="AN131" s="50" t="n">
        <v>21</v>
      </c>
      <c r="AO131" s="50">
        <f>G131*0.077825016</f>
      </c>
      <c r="AP131" s="50">
        <f>G131*(1-0.077825016)</f>
      </c>
      <c r="AQ131" s="53" t="s">
        <v>84</v>
      </c>
      <c r="AV131" s="50">
        <f>ROUND(AW131+AX131,2)</f>
      </c>
      <c r="AW131" s="50">
        <f>ROUND(F131*AO131,2)</f>
      </c>
      <c r="AX131" s="50">
        <f>ROUND(F131*AP131,2)</f>
      </c>
      <c r="AY131" s="53" t="s">
        <v>379</v>
      </c>
      <c r="AZ131" s="53" t="s">
        <v>348</v>
      </c>
      <c r="BA131" s="32" t="s">
        <v>57</v>
      </c>
      <c r="BC131" s="50">
        <f>AW131+AX131</f>
      </c>
      <c r="BD131" s="50">
        <f>G131/(100-BE131)*100</f>
      </c>
      <c r="BE131" s="50" t="n">
        <v>0</v>
      </c>
      <c r="BF131" s="50">
        <f>131</f>
      </c>
      <c r="BH131" s="50">
        <f>F131*AO131</f>
      </c>
      <c r="BI131" s="50">
        <f>F131*AP131</f>
      </c>
      <c r="BJ131" s="50">
        <f>F131*G131</f>
      </c>
      <c r="BK131" s="53" t="s">
        <v>58</v>
      </c>
      <c r="BL131" s="50" t="n">
        <v>784</v>
      </c>
      <c r="BW131" s="50" t="n">
        <v>21</v>
      </c>
      <c r="BX131" s="16" t="s">
        <v>382</v>
      </c>
    </row>
    <row r="132">
      <c r="A132" s="10" t="s">
        <v>383</v>
      </c>
      <c r="B132" s="11" t="s">
        <v>384</v>
      </c>
      <c r="C132" s="16" t="s">
        <v>385</v>
      </c>
      <c r="D132" s="11"/>
      <c r="E132" s="11" t="s">
        <v>65</v>
      </c>
      <c r="F132" s="50" t="n">
        <v>211.45</v>
      </c>
      <c r="G132" s="51" t="n">
        <v>0</v>
      </c>
      <c r="H132" s="50">
        <f>ROUND(F132*AO132,2)</f>
      </c>
      <c r="I132" s="50">
        <f>ROUND(F132*AP132,2)</f>
      </c>
      <c r="J132" s="50">
        <f>ROUND(F132*G132,2)</f>
      </c>
      <c r="K132" s="52" t="s">
        <v>54</v>
      </c>
      <c r="Z132" s="50">
        <f>ROUND(IF(AQ132="5",BJ132,0),2)</f>
      </c>
      <c r="AB132" s="50">
        <f>ROUND(IF(AQ132="1",BH132,0),2)</f>
      </c>
      <c r="AC132" s="50">
        <f>ROUND(IF(AQ132="1",BI132,0),2)</f>
      </c>
      <c r="AD132" s="50">
        <f>ROUND(IF(AQ132="7",BH132,0),2)</f>
      </c>
      <c r="AE132" s="50">
        <f>ROUND(IF(AQ132="7",BI132,0),2)</f>
      </c>
      <c r="AF132" s="50">
        <f>ROUND(IF(AQ132="2",BH132,0),2)</f>
      </c>
      <c r="AG132" s="50">
        <f>ROUND(IF(AQ132="2",BI132,0),2)</f>
      </c>
      <c r="AH132" s="50">
        <f>ROUND(IF(AQ132="0",BJ132,0),2)</f>
      </c>
      <c r="AI132" s="32" t="s">
        <v>47</v>
      </c>
      <c r="AJ132" s="50">
        <f>IF(AN132=0,J132,0)</f>
      </c>
      <c r="AK132" s="50">
        <f>IF(AN132=12,J132,0)</f>
      </c>
      <c r="AL132" s="50">
        <f>IF(AN132=21,J132,0)</f>
      </c>
      <c r="AN132" s="50" t="n">
        <v>21</v>
      </c>
      <c r="AO132" s="50">
        <f>G132*0.236831818</f>
      </c>
      <c r="AP132" s="50">
        <f>G132*(1-0.236831818)</f>
      </c>
      <c r="AQ132" s="53" t="s">
        <v>84</v>
      </c>
      <c r="AV132" s="50">
        <f>ROUND(AW132+AX132,2)</f>
      </c>
      <c r="AW132" s="50">
        <f>ROUND(F132*AO132,2)</f>
      </c>
      <c r="AX132" s="50">
        <f>ROUND(F132*AP132,2)</f>
      </c>
      <c r="AY132" s="53" t="s">
        <v>379</v>
      </c>
      <c r="AZ132" s="53" t="s">
        <v>348</v>
      </c>
      <c r="BA132" s="32" t="s">
        <v>57</v>
      </c>
      <c r="BC132" s="50">
        <f>AW132+AX132</f>
      </c>
      <c r="BD132" s="50">
        <f>G132/(100-BE132)*100</f>
      </c>
      <c r="BE132" s="50" t="n">
        <v>0</v>
      </c>
      <c r="BF132" s="50">
        <f>132</f>
      </c>
      <c r="BH132" s="50">
        <f>F132*AO132</f>
      </c>
      <c r="BI132" s="50">
        <f>F132*AP132</f>
      </c>
      <c r="BJ132" s="50">
        <f>F132*G132</f>
      </c>
      <c r="BK132" s="53" t="s">
        <v>58</v>
      </c>
      <c r="BL132" s="50" t="n">
        <v>784</v>
      </c>
      <c r="BW132" s="50" t="n">
        <v>21</v>
      </c>
      <c r="BX132" s="16" t="s">
        <v>385</v>
      </c>
    </row>
    <row r="133" customHeight="true" ht="13.5">
      <c r="A133" s="54"/>
      <c r="C133" s="55" t="s">
        <v>386</v>
      </c>
      <c r="D133" s="56"/>
      <c r="E133" s="56"/>
      <c r="F133" s="56"/>
      <c r="G133" s="57"/>
      <c r="H133" s="56"/>
      <c r="I133" s="56"/>
      <c r="J133" s="56"/>
      <c r="K133" s="58"/>
    </row>
    <row r="134">
      <c r="A134" s="59" t="s">
        <v>47</v>
      </c>
      <c r="B134" s="60" t="s">
        <v>387</v>
      </c>
      <c r="C134" s="61" t="s">
        <v>388</v>
      </c>
      <c r="D134" s="60"/>
      <c r="E134" s="62" t="s">
        <v>4</v>
      </c>
      <c r="F134" s="62" t="s">
        <v>4</v>
      </c>
      <c r="G134" s="63" t="s">
        <v>4</v>
      </c>
      <c r="H134" s="2">
        <f>SUM(H135:H137)</f>
      </c>
      <c r="I134" s="2">
        <f>SUM(I135:I137)</f>
      </c>
      <c r="J134" s="2">
        <f>SUM(J135:J137)</f>
      </c>
      <c r="K134" s="64" t="s">
        <v>47</v>
      </c>
      <c r="AI134" s="32" t="s">
        <v>47</v>
      </c>
      <c r="AS134" s="2">
        <f>SUM(AJ135:AJ137)</f>
      </c>
      <c r="AT134" s="2">
        <f>SUM(AK135:AK137)</f>
      </c>
      <c r="AU134" s="2">
        <f>SUM(AL135:AL137)</f>
      </c>
    </row>
    <row r="135">
      <c r="A135" s="10" t="s">
        <v>389</v>
      </c>
      <c r="B135" s="11" t="s">
        <v>390</v>
      </c>
      <c r="C135" s="16" t="s">
        <v>391</v>
      </c>
      <c r="D135" s="11"/>
      <c r="E135" s="11" t="s">
        <v>154</v>
      </c>
      <c r="F135" s="50" t="n">
        <v>1</v>
      </c>
      <c r="G135" s="51" t="n">
        <v>0</v>
      </c>
      <c r="H135" s="50">
        <f>ROUND(F135*AO135,2)</f>
      </c>
      <c r="I135" s="50">
        <f>ROUND(F135*AP135,2)</f>
      </c>
      <c r="J135" s="50">
        <f>ROUND(F135*G135,2)</f>
      </c>
      <c r="K135" s="52" t="s">
        <v>54</v>
      </c>
      <c r="Z135" s="50">
        <f>ROUND(IF(AQ135="5",BJ135,0),2)</f>
      </c>
      <c r="AB135" s="50">
        <f>ROUND(IF(AQ135="1",BH135,0),2)</f>
      </c>
      <c r="AC135" s="50">
        <f>ROUND(IF(AQ135="1",BI135,0),2)</f>
      </c>
      <c r="AD135" s="50">
        <f>ROUND(IF(AQ135="7",BH135,0),2)</f>
      </c>
      <c r="AE135" s="50">
        <f>ROUND(IF(AQ135="7",BI135,0),2)</f>
      </c>
      <c r="AF135" s="50">
        <f>ROUND(IF(AQ135="2",BH135,0),2)</f>
      </c>
      <c r="AG135" s="50">
        <f>ROUND(IF(AQ135="2",BI135,0),2)</f>
      </c>
      <c r="AH135" s="50">
        <f>ROUND(IF(AQ135="0",BJ135,0),2)</f>
      </c>
      <c r="AI135" s="32" t="s">
        <v>47</v>
      </c>
      <c r="AJ135" s="50">
        <f>IF(AN135=0,J135,0)</f>
      </c>
      <c r="AK135" s="50">
        <f>IF(AN135=12,J135,0)</f>
      </c>
      <c r="AL135" s="50">
        <f>IF(AN135=21,J135,0)</f>
      </c>
      <c r="AN135" s="50" t="n">
        <v>21</v>
      </c>
      <c r="AO135" s="50">
        <f>G135*0</f>
      </c>
      <c r="AP135" s="50">
        <f>G135*(1-0)</f>
      </c>
      <c r="AQ135" s="53" t="s">
        <v>84</v>
      </c>
      <c r="AV135" s="50">
        <f>ROUND(AW135+AX135,2)</f>
      </c>
      <c r="AW135" s="50">
        <f>ROUND(F135*AO135,2)</f>
      </c>
      <c r="AX135" s="50">
        <f>ROUND(F135*AP135,2)</f>
      </c>
      <c r="AY135" s="53" t="s">
        <v>392</v>
      </c>
      <c r="AZ135" s="53" t="s">
        <v>393</v>
      </c>
      <c r="BA135" s="32" t="s">
        <v>57</v>
      </c>
      <c r="BC135" s="50">
        <f>AW135+AX135</f>
      </c>
      <c r="BD135" s="50">
        <f>G135/(100-BE135)*100</f>
      </c>
      <c r="BE135" s="50" t="n">
        <v>0</v>
      </c>
      <c r="BF135" s="50">
        <f>135</f>
      </c>
      <c r="BH135" s="50">
        <f>F135*AO135</f>
      </c>
      <c r="BI135" s="50">
        <f>F135*AP135</f>
      </c>
      <c r="BJ135" s="50">
        <f>F135*G135</f>
      </c>
      <c r="BK135" s="53" t="s">
        <v>58</v>
      </c>
      <c r="BL135" s="50" t="n">
        <v>795</v>
      </c>
      <c r="BW135" s="50" t="n">
        <v>21</v>
      </c>
      <c r="BX135" s="16" t="s">
        <v>391</v>
      </c>
    </row>
    <row r="136" customHeight="true" ht="40.5">
      <c r="A136" s="54"/>
      <c r="C136" s="55" t="s">
        <v>394</v>
      </c>
      <c r="D136" s="56"/>
      <c r="E136" s="56"/>
      <c r="F136" s="56"/>
      <c r="G136" s="57"/>
      <c r="H136" s="56"/>
      <c r="I136" s="56"/>
      <c r="J136" s="56"/>
      <c r="K136" s="58"/>
    </row>
    <row r="137">
      <c r="A137" s="10" t="s">
        <v>395</v>
      </c>
      <c r="B137" s="11" t="s">
        <v>396</v>
      </c>
      <c r="C137" s="16" t="s">
        <v>397</v>
      </c>
      <c r="D137" s="11"/>
      <c r="E137" s="11" t="s">
        <v>154</v>
      </c>
      <c r="F137" s="50" t="n">
        <v>1</v>
      </c>
      <c r="G137" s="51" t="n">
        <v>0</v>
      </c>
      <c r="H137" s="50">
        <f>ROUND(F137*AO137,2)</f>
      </c>
      <c r="I137" s="50">
        <f>ROUND(F137*AP137,2)</f>
      </c>
      <c r="J137" s="50">
        <f>ROUND(F137*G137,2)</f>
      </c>
      <c r="K137" s="52" t="s">
        <v>54</v>
      </c>
      <c r="Z137" s="50">
        <f>ROUND(IF(AQ137="5",BJ137,0),2)</f>
      </c>
      <c r="AB137" s="50">
        <f>ROUND(IF(AQ137="1",BH137,0),2)</f>
      </c>
      <c r="AC137" s="50">
        <f>ROUND(IF(AQ137="1",BI137,0),2)</f>
      </c>
      <c r="AD137" s="50">
        <f>ROUND(IF(AQ137="7",BH137,0),2)</f>
      </c>
      <c r="AE137" s="50">
        <f>ROUND(IF(AQ137="7",BI137,0),2)</f>
      </c>
      <c r="AF137" s="50">
        <f>ROUND(IF(AQ137="2",BH137,0),2)</f>
      </c>
      <c r="AG137" s="50">
        <f>ROUND(IF(AQ137="2",BI137,0),2)</f>
      </c>
      <c r="AH137" s="50">
        <f>ROUND(IF(AQ137="0",BJ137,0),2)</f>
      </c>
      <c r="AI137" s="32" t="s">
        <v>47</v>
      </c>
      <c r="AJ137" s="50">
        <f>IF(AN137=0,J137,0)</f>
      </c>
      <c r="AK137" s="50">
        <f>IF(AN137=12,J137,0)</f>
      </c>
      <c r="AL137" s="50">
        <f>IF(AN137=21,J137,0)</f>
      </c>
      <c r="AN137" s="50" t="n">
        <v>21</v>
      </c>
      <c r="AO137" s="50">
        <f>G137*0</f>
      </c>
      <c r="AP137" s="50">
        <f>G137*(1-0)</f>
      </c>
      <c r="AQ137" s="53" t="s">
        <v>84</v>
      </c>
      <c r="AV137" s="50">
        <f>ROUND(AW137+AX137,2)</f>
      </c>
      <c r="AW137" s="50">
        <f>ROUND(F137*AO137,2)</f>
      </c>
      <c r="AX137" s="50">
        <f>ROUND(F137*AP137,2)</f>
      </c>
      <c r="AY137" s="53" t="s">
        <v>392</v>
      </c>
      <c r="AZ137" s="53" t="s">
        <v>393</v>
      </c>
      <c r="BA137" s="32" t="s">
        <v>57</v>
      </c>
      <c r="BC137" s="50">
        <f>AW137+AX137</f>
      </c>
      <c r="BD137" s="50">
        <f>G137/(100-BE137)*100</f>
      </c>
      <c r="BE137" s="50" t="n">
        <v>0</v>
      </c>
      <c r="BF137" s="50">
        <f>137</f>
      </c>
      <c r="BH137" s="50">
        <f>F137*AO137</f>
      </c>
      <c r="BI137" s="50">
        <f>F137*AP137</f>
      </c>
      <c r="BJ137" s="50">
        <f>F137*G137</f>
      </c>
      <c r="BK137" s="53" t="s">
        <v>58</v>
      </c>
      <c r="BL137" s="50" t="n">
        <v>795</v>
      </c>
      <c r="BW137" s="50" t="n">
        <v>21</v>
      </c>
      <c r="BX137" s="16" t="s">
        <v>397</v>
      </c>
    </row>
    <row r="138" customHeight="true" ht="27">
      <c r="A138" s="54"/>
      <c r="C138" s="55" t="s">
        <v>398</v>
      </c>
      <c r="D138" s="56"/>
      <c r="E138" s="56"/>
      <c r="F138" s="56"/>
      <c r="G138" s="57"/>
      <c r="H138" s="56"/>
      <c r="I138" s="56"/>
      <c r="J138" s="56"/>
      <c r="K138" s="58"/>
    </row>
    <row r="139">
      <c r="A139" s="59" t="s">
        <v>47</v>
      </c>
      <c r="B139" s="60" t="s">
        <v>389</v>
      </c>
      <c r="C139" s="61" t="s">
        <v>399</v>
      </c>
      <c r="D139" s="60"/>
      <c r="E139" s="62" t="s">
        <v>4</v>
      </c>
      <c r="F139" s="62" t="s">
        <v>4</v>
      </c>
      <c r="G139" s="63" t="s">
        <v>4</v>
      </c>
      <c r="H139" s="2">
        <f>SUM(H140:H140)</f>
      </c>
      <c r="I139" s="2">
        <f>SUM(I140:I140)</f>
      </c>
      <c r="J139" s="2">
        <f>SUM(J140:J140)</f>
      </c>
      <c r="K139" s="64" t="s">
        <v>47</v>
      </c>
      <c r="AI139" s="32" t="s">
        <v>47</v>
      </c>
      <c r="AS139" s="2">
        <f>SUM(AJ140:AJ140)</f>
      </c>
      <c r="AT139" s="2">
        <f>SUM(AK140:AK140)</f>
      </c>
      <c r="AU139" s="2">
        <f>SUM(AL140:AL140)</f>
      </c>
    </row>
    <row r="140">
      <c r="A140" s="10" t="s">
        <v>400</v>
      </c>
      <c r="B140" s="11" t="s">
        <v>401</v>
      </c>
      <c r="C140" s="16" t="s">
        <v>402</v>
      </c>
      <c r="D140" s="11"/>
      <c r="E140" s="11" t="s">
        <v>403</v>
      </c>
      <c r="F140" s="50" t="n">
        <v>24</v>
      </c>
      <c r="G140" s="51" t="n">
        <v>0</v>
      </c>
      <c r="H140" s="50">
        <f>ROUND(F140*AO140,2)</f>
      </c>
      <c r="I140" s="50">
        <f>ROUND(F140*AP140,2)</f>
      </c>
      <c r="J140" s="50">
        <f>ROUND(F140*G140,2)</f>
      </c>
      <c r="K140" s="52" t="s">
        <v>54</v>
      </c>
      <c r="Z140" s="50">
        <f>ROUND(IF(AQ140="5",BJ140,0),2)</f>
      </c>
      <c r="AB140" s="50">
        <f>ROUND(IF(AQ140="1",BH140,0),2)</f>
      </c>
      <c r="AC140" s="50">
        <f>ROUND(IF(AQ140="1",BI140,0),2)</f>
      </c>
      <c r="AD140" s="50">
        <f>ROUND(IF(AQ140="7",BH140,0),2)</f>
      </c>
      <c r="AE140" s="50">
        <f>ROUND(IF(AQ140="7",BI140,0),2)</f>
      </c>
      <c r="AF140" s="50">
        <f>ROUND(IF(AQ140="2",BH140,0),2)</f>
      </c>
      <c r="AG140" s="50">
        <f>ROUND(IF(AQ140="2",BI140,0),2)</f>
      </c>
      <c r="AH140" s="50">
        <f>ROUND(IF(AQ140="0",BJ140,0),2)</f>
      </c>
      <c r="AI140" s="32" t="s">
        <v>47</v>
      </c>
      <c r="AJ140" s="50">
        <f>IF(AN140=0,J140,0)</f>
      </c>
      <c r="AK140" s="50">
        <f>IF(AN140=12,J140,0)</f>
      </c>
      <c r="AL140" s="50">
        <f>IF(AN140=21,J140,0)</f>
      </c>
      <c r="AN140" s="50" t="n">
        <v>21</v>
      </c>
      <c r="AO140" s="50">
        <f>G140*0</f>
      </c>
      <c r="AP140" s="50">
        <f>G140*(1-0)</f>
      </c>
      <c r="AQ140" s="53" t="s">
        <v>50</v>
      </c>
      <c r="AV140" s="50">
        <f>ROUND(AW140+AX140,2)</f>
      </c>
      <c r="AW140" s="50">
        <f>ROUND(F140*AO140,2)</f>
      </c>
      <c r="AX140" s="50">
        <f>ROUND(F140*AP140,2)</f>
      </c>
      <c r="AY140" s="53" t="s">
        <v>404</v>
      </c>
      <c r="AZ140" s="53" t="s">
        <v>405</v>
      </c>
      <c r="BA140" s="32" t="s">
        <v>57</v>
      </c>
      <c r="BC140" s="50">
        <f>AW140+AX140</f>
      </c>
      <c r="BD140" s="50">
        <f>G140/(100-BE140)*100</f>
      </c>
      <c r="BE140" s="50" t="n">
        <v>0</v>
      </c>
      <c r="BF140" s="50">
        <f>140</f>
      </c>
      <c r="BH140" s="50">
        <f>F140*AO140</f>
      </c>
      <c r="BI140" s="50">
        <f>F140*AP140</f>
      </c>
      <c r="BJ140" s="50">
        <f>F140*G140</f>
      </c>
      <c r="BK140" s="53" t="s">
        <v>58</v>
      </c>
      <c r="BL140" s="50" t="n">
        <v>90</v>
      </c>
      <c r="BW140" s="50" t="n">
        <v>21</v>
      </c>
      <c r="BX140" s="16" t="s">
        <v>402</v>
      </c>
    </row>
    <row r="141" customHeight="true" ht="13.5">
      <c r="A141" s="54"/>
      <c r="C141" s="55" t="s">
        <v>406</v>
      </c>
      <c r="D141" s="56"/>
      <c r="E141" s="56"/>
      <c r="F141" s="56"/>
      <c r="G141" s="57"/>
      <c r="H141" s="56"/>
      <c r="I141" s="56"/>
      <c r="J141" s="56"/>
      <c r="K141" s="58"/>
    </row>
    <row r="142">
      <c r="A142" s="59" t="s">
        <v>47</v>
      </c>
      <c r="B142" s="60" t="s">
        <v>407</v>
      </c>
      <c r="C142" s="61" t="s">
        <v>408</v>
      </c>
      <c r="D142" s="60"/>
      <c r="E142" s="62" t="s">
        <v>4</v>
      </c>
      <c r="F142" s="62" t="s">
        <v>4</v>
      </c>
      <c r="G142" s="63" t="s">
        <v>4</v>
      </c>
      <c r="H142" s="2">
        <f>SUM(H143:H143)</f>
      </c>
      <c r="I142" s="2">
        <f>SUM(I143:I143)</f>
      </c>
      <c r="J142" s="2">
        <f>SUM(J143:J143)</f>
      </c>
      <c r="K142" s="64" t="s">
        <v>47</v>
      </c>
      <c r="AI142" s="32" t="s">
        <v>47</v>
      </c>
      <c r="AS142" s="2">
        <f>SUM(AJ143:AJ143)</f>
      </c>
      <c r="AT142" s="2">
        <f>SUM(AK143:AK143)</f>
      </c>
      <c r="AU142" s="2">
        <f>SUM(AL143:AL143)</f>
      </c>
    </row>
    <row r="143">
      <c r="A143" s="10" t="s">
        <v>409</v>
      </c>
      <c r="B143" s="11" t="s">
        <v>410</v>
      </c>
      <c r="C143" s="16" t="s">
        <v>411</v>
      </c>
      <c r="D143" s="11"/>
      <c r="E143" s="11" t="s">
        <v>65</v>
      </c>
      <c r="F143" s="50" t="n">
        <v>55</v>
      </c>
      <c r="G143" s="51" t="n">
        <v>0</v>
      </c>
      <c r="H143" s="50">
        <f>ROUND(F143*AO143,2)</f>
      </c>
      <c r="I143" s="50">
        <f>ROUND(F143*AP143,2)</f>
      </c>
      <c r="J143" s="50">
        <f>ROUND(F143*G143,2)</f>
      </c>
      <c r="K143" s="52" t="s">
        <v>54</v>
      </c>
      <c r="Z143" s="50">
        <f>ROUND(IF(AQ143="5",BJ143,0),2)</f>
      </c>
      <c r="AB143" s="50">
        <f>ROUND(IF(AQ143="1",BH143,0),2)</f>
      </c>
      <c r="AC143" s="50">
        <f>ROUND(IF(AQ143="1",BI143,0),2)</f>
      </c>
      <c r="AD143" s="50">
        <f>ROUND(IF(AQ143="7",BH143,0),2)</f>
      </c>
      <c r="AE143" s="50">
        <f>ROUND(IF(AQ143="7",BI143,0),2)</f>
      </c>
      <c r="AF143" s="50">
        <f>ROUND(IF(AQ143="2",BH143,0),2)</f>
      </c>
      <c r="AG143" s="50">
        <f>ROUND(IF(AQ143="2",BI143,0),2)</f>
      </c>
      <c r="AH143" s="50">
        <f>ROUND(IF(AQ143="0",BJ143,0),2)</f>
      </c>
      <c r="AI143" s="32" t="s">
        <v>47</v>
      </c>
      <c r="AJ143" s="50">
        <f>IF(AN143=0,J143,0)</f>
      </c>
      <c r="AK143" s="50">
        <f>IF(AN143=12,J143,0)</f>
      </c>
      <c r="AL143" s="50">
        <f>IF(AN143=21,J143,0)</f>
      </c>
      <c r="AN143" s="50" t="n">
        <v>21</v>
      </c>
      <c r="AO143" s="50">
        <f>G143*0.309860944</f>
      </c>
      <c r="AP143" s="50">
        <f>G143*(1-0.309860944)</f>
      </c>
      <c r="AQ143" s="53" t="s">
        <v>50</v>
      </c>
      <c r="AV143" s="50">
        <f>ROUND(AW143+AX143,2)</f>
      </c>
      <c r="AW143" s="50">
        <f>ROUND(F143*AO143,2)</f>
      </c>
      <c r="AX143" s="50">
        <f>ROUND(F143*AP143,2)</f>
      </c>
      <c r="AY143" s="53" t="s">
        <v>412</v>
      </c>
      <c r="AZ143" s="53" t="s">
        <v>405</v>
      </c>
      <c r="BA143" s="32" t="s">
        <v>57</v>
      </c>
      <c r="BC143" s="50">
        <f>AW143+AX143</f>
      </c>
      <c r="BD143" s="50">
        <f>G143/(100-BE143)*100</f>
      </c>
      <c r="BE143" s="50" t="n">
        <v>0</v>
      </c>
      <c r="BF143" s="50">
        <f>143</f>
      </c>
      <c r="BH143" s="50">
        <f>F143*AO143</f>
      </c>
      <c r="BI143" s="50">
        <f>F143*AP143</f>
      </c>
      <c r="BJ143" s="50">
        <f>F143*G143</f>
      </c>
      <c r="BK143" s="53" t="s">
        <v>58</v>
      </c>
      <c r="BL143" s="50" t="n">
        <v>94</v>
      </c>
      <c r="BW143" s="50" t="n">
        <v>21</v>
      </c>
      <c r="BX143" s="16" t="s">
        <v>411</v>
      </c>
    </row>
    <row r="144">
      <c r="A144" s="59" t="s">
        <v>47</v>
      </c>
      <c r="B144" s="60" t="s">
        <v>413</v>
      </c>
      <c r="C144" s="61" t="s">
        <v>414</v>
      </c>
      <c r="D144" s="60"/>
      <c r="E144" s="62" t="s">
        <v>4</v>
      </c>
      <c r="F144" s="62" t="s">
        <v>4</v>
      </c>
      <c r="G144" s="63" t="s">
        <v>4</v>
      </c>
      <c r="H144" s="2">
        <f>SUM(H145:H145)</f>
      </c>
      <c r="I144" s="2">
        <f>SUM(I145:I145)</f>
      </c>
      <c r="J144" s="2">
        <f>SUM(J145:J145)</f>
      </c>
      <c r="K144" s="64" t="s">
        <v>47</v>
      </c>
      <c r="AI144" s="32" t="s">
        <v>47</v>
      </c>
      <c r="AS144" s="2">
        <f>SUM(AJ145:AJ145)</f>
      </c>
      <c r="AT144" s="2">
        <f>SUM(AK145:AK145)</f>
      </c>
      <c r="AU144" s="2">
        <f>SUM(AL145:AL145)</f>
      </c>
    </row>
    <row r="145">
      <c r="A145" s="10" t="s">
        <v>407</v>
      </c>
      <c r="B145" s="11" t="s">
        <v>415</v>
      </c>
      <c r="C145" s="16" t="s">
        <v>416</v>
      </c>
      <c r="D145" s="11"/>
      <c r="E145" s="11" t="s">
        <v>65</v>
      </c>
      <c r="F145" s="50" t="n">
        <v>50.92</v>
      </c>
      <c r="G145" s="51" t="n">
        <v>0</v>
      </c>
      <c r="H145" s="50">
        <f>ROUND(F145*AO145,2)</f>
      </c>
      <c r="I145" s="50">
        <f>ROUND(F145*AP145,2)</f>
      </c>
      <c r="J145" s="50">
        <f>ROUND(F145*G145,2)</f>
      </c>
      <c r="K145" s="52" t="s">
        <v>54</v>
      </c>
      <c r="Z145" s="50">
        <f>ROUND(IF(AQ145="5",BJ145,0),2)</f>
      </c>
      <c r="AB145" s="50">
        <f>ROUND(IF(AQ145="1",BH145,0),2)</f>
      </c>
      <c r="AC145" s="50">
        <f>ROUND(IF(AQ145="1",BI145,0),2)</f>
      </c>
      <c r="AD145" s="50">
        <f>ROUND(IF(AQ145="7",BH145,0),2)</f>
      </c>
      <c r="AE145" s="50">
        <f>ROUND(IF(AQ145="7",BI145,0),2)</f>
      </c>
      <c r="AF145" s="50">
        <f>ROUND(IF(AQ145="2",BH145,0),2)</f>
      </c>
      <c r="AG145" s="50">
        <f>ROUND(IF(AQ145="2",BI145,0),2)</f>
      </c>
      <c r="AH145" s="50">
        <f>ROUND(IF(AQ145="0",BJ145,0),2)</f>
      </c>
      <c r="AI145" s="32" t="s">
        <v>47</v>
      </c>
      <c r="AJ145" s="50">
        <f>IF(AN145=0,J145,0)</f>
      </c>
      <c r="AK145" s="50">
        <f>IF(AN145=12,J145,0)</f>
      </c>
      <c r="AL145" s="50">
        <f>IF(AN145=21,J145,0)</f>
      </c>
      <c r="AN145" s="50" t="n">
        <v>21</v>
      </c>
      <c r="AO145" s="50">
        <f>G145*0.012649304</f>
      </c>
      <c r="AP145" s="50">
        <f>G145*(1-0.012649304)</f>
      </c>
      <c r="AQ145" s="53" t="s">
        <v>50</v>
      </c>
      <c r="AV145" s="50">
        <f>ROUND(AW145+AX145,2)</f>
      </c>
      <c r="AW145" s="50">
        <f>ROUND(F145*AO145,2)</f>
      </c>
      <c r="AX145" s="50">
        <f>ROUND(F145*AP145,2)</f>
      </c>
      <c r="AY145" s="53" t="s">
        <v>417</v>
      </c>
      <c r="AZ145" s="53" t="s">
        <v>405</v>
      </c>
      <c r="BA145" s="32" t="s">
        <v>57</v>
      </c>
      <c r="BC145" s="50">
        <f>AW145+AX145</f>
      </c>
      <c r="BD145" s="50">
        <f>G145/(100-BE145)*100</f>
      </c>
      <c r="BE145" s="50" t="n">
        <v>0</v>
      </c>
      <c r="BF145" s="50">
        <f>145</f>
      </c>
      <c r="BH145" s="50">
        <f>F145*AO145</f>
      </c>
      <c r="BI145" s="50">
        <f>F145*AP145</f>
      </c>
      <c r="BJ145" s="50">
        <f>F145*G145</f>
      </c>
      <c r="BK145" s="53" t="s">
        <v>58</v>
      </c>
      <c r="BL145" s="50" t="n">
        <v>95</v>
      </c>
      <c r="BW145" s="50" t="n">
        <v>21</v>
      </c>
      <c r="BX145" s="16" t="s">
        <v>416</v>
      </c>
    </row>
    <row r="146">
      <c r="A146" s="59" t="s">
        <v>47</v>
      </c>
      <c r="B146" s="60" t="s">
        <v>418</v>
      </c>
      <c r="C146" s="61" t="s">
        <v>419</v>
      </c>
      <c r="D146" s="60"/>
      <c r="E146" s="62" t="s">
        <v>4</v>
      </c>
      <c r="F146" s="62" t="s">
        <v>4</v>
      </c>
      <c r="G146" s="63" t="s">
        <v>4</v>
      </c>
      <c r="H146" s="2">
        <f>SUM(H147:H156)</f>
      </c>
      <c r="I146" s="2">
        <f>SUM(I147:I156)</f>
      </c>
      <c r="J146" s="2">
        <f>SUM(J147:J156)</f>
      </c>
      <c r="K146" s="64" t="s">
        <v>47</v>
      </c>
      <c r="AI146" s="32" t="s">
        <v>47</v>
      </c>
      <c r="AS146" s="2">
        <f>SUM(AJ147:AJ156)</f>
      </c>
      <c r="AT146" s="2">
        <f>SUM(AK147:AK156)</f>
      </c>
      <c r="AU146" s="2">
        <f>SUM(AL147:AL156)</f>
      </c>
    </row>
    <row r="147">
      <c r="A147" s="10" t="s">
        <v>413</v>
      </c>
      <c r="B147" s="11" t="s">
        <v>420</v>
      </c>
      <c r="C147" s="16" t="s">
        <v>421</v>
      </c>
      <c r="D147" s="11"/>
      <c r="E147" s="11" t="s">
        <v>65</v>
      </c>
      <c r="F147" s="50" t="n">
        <v>20.64894</v>
      </c>
      <c r="G147" s="51" t="n">
        <v>0</v>
      </c>
      <c r="H147" s="50">
        <f>ROUND(F147*AO147,2)</f>
      </c>
      <c r="I147" s="50">
        <f>ROUND(F147*AP147,2)</f>
      </c>
      <c r="J147" s="50">
        <f>ROUND(F147*G147,2)</f>
      </c>
      <c r="K147" s="52" t="s">
        <v>54</v>
      </c>
      <c r="Z147" s="50">
        <f>ROUND(IF(AQ147="5",BJ147,0),2)</f>
      </c>
      <c r="AB147" s="50">
        <f>ROUND(IF(AQ147="1",BH147,0),2)</f>
      </c>
      <c r="AC147" s="50">
        <f>ROUND(IF(AQ147="1",BI147,0),2)</f>
      </c>
      <c r="AD147" s="50">
        <f>ROUND(IF(AQ147="7",BH147,0),2)</f>
      </c>
      <c r="AE147" s="50">
        <f>ROUND(IF(AQ147="7",BI147,0),2)</f>
      </c>
      <c r="AF147" s="50">
        <f>ROUND(IF(AQ147="2",BH147,0),2)</f>
      </c>
      <c r="AG147" s="50">
        <f>ROUND(IF(AQ147="2",BI147,0),2)</f>
      </c>
      <c r="AH147" s="50">
        <f>ROUND(IF(AQ147="0",BJ147,0),2)</f>
      </c>
      <c r="AI147" s="32" t="s">
        <v>47</v>
      </c>
      <c r="AJ147" s="50">
        <f>IF(AN147=0,J147,0)</f>
      </c>
      <c r="AK147" s="50">
        <f>IF(AN147=12,J147,0)</f>
      </c>
      <c r="AL147" s="50">
        <f>IF(AN147=21,J147,0)</f>
      </c>
      <c r="AN147" s="50" t="n">
        <v>21</v>
      </c>
      <c r="AO147" s="50">
        <f>G147*0.110712522</f>
      </c>
      <c r="AP147" s="50">
        <f>G147*(1-0.110712522)</f>
      </c>
      <c r="AQ147" s="53" t="s">
        <v>50</v>
      </c>
      <c r="AV147" s="50">
        <f>ROUND(AW147+AX147,2)</f>
      </c>
      <c r="AW147" s="50">
        <f>ROUND(F147*AO147,2)</f>
      </c>
      <c r="AX147" s="50">
        <f>ROUND(F147*AP147,2)</f>
      </c>
      <c r="AY147" s="53" t="s">
        <v>422</v>
      </c>
      <c r="AZ147" s="53" t="s">
        <v>405</v>
      </c>
      <c r="BA147" s="32" t="s">
        <v>57</v>
      </c>
      <c r="BC147" s="50">
        <f>AW147+AX147</f>
      </c>
      <c r="BD147" s="50">
        <f>G147/(100-BE147)*100</f>
      </c>
      <c r="BE147" s="50" t="n">
        <v>0</v>
      </c>
      <c r="BF147" s="50">
        <f>147</f>
      </c>
      <c r="BH147" s="50">
        <f>F147*AO147</f>
      </c>
      <c r="BI147" s="50">
        <f>F147*AP147</f>
      </c>
      <c r="BJ147" s="50">
        <f>F147*G147</f>
      </c>
      <c r="BK147" s="53" t="s">
        <v>58</v>
      </c>
      <c r="BL147" s="50" t="n">
        <v>96</v>
      </c>
      <c r="BW147" s="50" t="n">
        <v>21</v>
      </c>
      <c r="BX147" s="16" t="s">
        <v>421</v>
      </c>
    </row>
    <row r="148">
      <c r="A148" s="10" t="s">
        <v>418</v>
      </c>
      <c r="B148" s="11" t="s">
        <v>423</v>
      </c>
      <c r="C148" s="16" t="s">
        <v>424</v>
      </c>
      <c r="D148" s="11"/>
      <c r="E148" s="11" t="s">
        <v>65</v>
      </c>
      <c r="F148" s="50" t="n">
        <v>23.37</v>
      </c>
      <c r="G148" s="51" t="n">
        <v>0</v>
      </c>
      <c r="H148" s="50">
        <f>ROUND(F148*AO148,2)</f>
      </c>
      <c r="I148" s="50">
        <f>ROUND(F148*AP148,2)</f>
      </c>
      <c r="J148" s="50">
        <f>ROUND(F148*G148,2)</f>
      </c>
      <c r="K148" s="52" t="s">
        <v>54</v>
      </c>
      <c r="Z148" s="50">
        <f>ROUND(IF(AQ148="5",BJ148,0),2)</f>
      </c>
      <c r="AB148" s="50">
        <f>ROUND(IF(AQ148="1",BH148,0),2)</f>
      </c>
      <c r="AC148" s="50">
        <f>ROUND(IF(AQ148="1",BI148,0),2)</f>
      </c>
      <c r="AD148" s="50">
        <f>ROUND(IF(AQ148="7",BH148,0),2)</f>
      </c>
      <c r="AE148" s="50">
        <f>ROUND(IF(AQ148="7",BI148,0),2)</f>
      </c>
      <c r="AF148" s="50">
        <f>ROUND(IF(AQ148="2",BH148,0),2)</f>
      </c>
      <c r="AG148" s="50">
        <f>ROUND(IF(AQ148="2",BI148,0),2)</f>
      </c>
      <c r="AH148" s="50">
        <f>ROUND(IF(AQ148="0",BJ148,0),2)</f>
      </c>
      <c r="AI148" s="32" t="s">
        <v>47</v>
      </c>
      <c r="AJ148" s="50">
        <f>IF(AN148=0,J148,0)</f>
      </c>
      <c r="AK148" s="50">
        <f>IF(AN148=12,J148,0)</f>
      </c>
      <c r="AL148" s="50">
        <f>IF(AN148=21,J148,0)</f>
      </c>
      <c r="AN148" s="50" t="n">
        <v>21</v>
      </c>
      <c r="AO148" s="50">
        <f>G148*0</f>
      </c>
      <c r="AP148" s="50">
        <f>G148*(1-0)</f>
      </c>
      <c r="AQ148" s="53" t="s">
        <v>50</v>
      </c>
      <c r="AV148" s="50">
        <f>ROUND(AW148+AX148,2)</f>
      </c>
      <c r="AW148" s="50">
        <f>ROUND(F148*AO148,2)</f>
      </c>
      <c r="AX148" s="50">
        <f>ROUND(F148*AP148,2)</f>
      </c>
      <c r="AY148" s="53" t="s">
        <v>422</v>
      </c>
      <c r="AZ148" s="53" t="s">
        <v>405</v>
      </c>
      <c r="BA148" s="32" t="s">
        <v>57</v>
      </c>
      <c r="BC148" s="50">
        <f>AW148+AX148</f>
      </c>
      <c r="BD148" s="50">
        <f>G148/(100-BE148)*100</f>
      </c>
      <c r="BE148" s="50" t="n">
        <v>0</v>
      </c>
      <c r="BF148" s="50">
        <f>148</f>
      </c>
      <c r="BH148" s="50">
        <f>F148*AO148</f>
      </c>
      <c r="BI148" s="50">
        <f>F148*AP148</f>
      </c>
      <c r="BJ148" s="50">
        <f>F148*G148</f>
      </c>
      <c r="BK148" s="53" t="s">
        <v>58</v>
      </c>
      <c r="BL148" s="50" t="n">
        <v>96</v>
      </c>
      <c r="BW148" s="50" t="n">
        <v>21</v>
      </c>
      <c r="BX148" s="16" t="s">
        <v>424</v>
      </c>
    </row>
    <row r="149" customHeight="true" ht="13.5">
      <c r="A149" s="54"/>
      <c r="C149" s="55" t="s">
        <v>425</v>
      </c>
      <c r="D149" s="56"/>
      <c r="E149" s="56"/>
      <c r="F149" s="56"/>
      <c r="G149" s="57"/>
      <c r="H149" s="56"/>
      <c r="I149" s="56"/>
      <c r="J149" s="56"/>
      <c r="K149" s="58"/>
    </row>
    <row r="150">
      <c r="A150" s="10" t="s">
        <v>426</v>
      </c>
      <c r="B150" s="11" t="s">
        <v>427</v>
      </c>
      <c r="C150" s="16" t="s">
        <v>428</v>
      </c>
      <c r="D150" s="11"/>
      <c r="E150" s="11" t="s">
        <v>95</v>
      </c>
      <c r="F150" s="50" t="n">
        <v>11.106</v>
      </c>
      <c r="G150" s="51" t="n">
        <v>0</v>
      </c>
      <c r="H150" s="50">
        <f>ROUND(F150*AO150,2)</f>
      </c>
      <c r="I150" s="50">
        <f>ROUND(F150*AP150,2)</f>
      </c>
      <c r="J150" s="50">
        <f>ROUND(F150*G150,2)</f>
      </c>
      <c r="K150" s="52" t="s">
        <v>54</v>
      </c>
      <c r="Z150" s="50">
        <f>ROUND(IF(AQ150="5",BJ150,0),2)</f>
      </c>
      <c r="AB150" s="50">
        <f>ROUND(IF(AQ150="1",BH150,0),2)</f>
      </c>
      <c r="AC150" s="50">
        <f>ROUND(IF(AQ150="1",BI150,0),2)</f>
      </c>
      <c r="AD150" s="50">
        <f>ROUND(IF(AQ150="7",BH150,0),2)</f>
      </c>
      <c r="AE150" s="50">
        <f>ROUND(IF(AQ150="7",BI150,0),2)</f>
      </c>
      <c r="AF150" s="50">
        <f>ROUND(IF(AQ150="2",BH150,0),2)</f>
      </c>
      <c r="AG150" s="50">
        <f>ROUND(IF(AQ150="2",BI150,0),2)</f>
      </c>
      <c r="AH150" s="50">
        <f>ROUND(IF(AQ150="0",BJ150,0),2)</f>
      </c>
      <c r="AI150" s="32" t="s">
        <v>47</v>
      </c>
      <c r="AJ150" s="50">
        <f>IF(AN150=0,J150,0)</f>
      </c>
      <c r="AK150" s="50">
        <f>IF(AN150=12,J150,0)</f>
      </c>
      <c r="AL150" s="50">
        <f>IF(AN150=21,J150,0)</f>
      </c>
      <c r="AN150" s="50" t="n">
        <v>21</v>
      </c>
      <c r="AO150" s="50">
        <f>G150*0</f>
      </c>
      <c r="AP150" s="50">
        <f>G150*(1-0)</f>
      </c>
      <c r="AQ150" s="53" t="s">
        <v>50</v>
      </c>
      <c r="AV150" s="50">
        <f>ROUND(AW150+AX150,2)</f>
      </c>
      <c r="AW150" s="50">
        <f>ROUND(F150*AO150,2)</f>
      </c>
      <c r="AX150" s="50">
        <f>ROUND(F150*AP150,2)</f>
      </c>
      <c r="AY150" s="53" t="s">
        <v>422</v>
      </c>
      <c r="AZ150" s="53" t="s">
        <v>405</v>
      </c>
      <c r="BA150" s="32" t="s">
        <v>57</v>
      </c>
      <c r="BC150" s="50">
        <f>AW150+AX150</f>
      </c>
      <c r="BD150" s="50">
        <f>G150/(100-BE150)*100</f>
      </c>
      <c r="BE150" s="50" t="n">
        <v>0</v>
      </c>
      <c r="BF150" s="50">
        <f>150</f>
      </c>
      <c r="BH150" s="50">
        <f>F150*AO150</f>
      </c>
      <c r="BI150" s="50">
        <f>F150*AP150</f>
      </c>
      <c r="BJ150" s="50">
        <f>F150*G150</f>
      </c>
      <c r="BK150" s="53" t="s">
        <v>58</v>
      </c>
      <c r="BL150" s="50" t="n">
        <v>96</v>
      </c>
      <c r="BW150" s="50" t="n">
        <v>21</v>
      </c>
      <c r="BX150" s="16" t="s">
        <v>428</v>
      </c>
    </row>
    <row r="151">
      <c r="A151" s="10" t="s">
        <v>429</v>
      </c>
      <c r="B151" s="11" t="s">
        <v>430</v>
      </c>
      <c r="C151" s="16" t="s">
        <v>431</v>
      </c>
      <c r="D151" s="11"/>
      <c r="E151" s="11" t="s">
        <v>65</v>
      </c>
      <c r="F151" s="50" t="n">
        <v>9.6</v>
      </c>
      <c r="G151" s="51" t="n">
        <v>0</v>
      </c>
      <c r="H151" s="50">
        <f>ROUND(F151*AO151,2)</f>
      </c>
      <c r="I151" s="50">
        <f>ROUND(F151*AP151,2)</f>
      </c>
      <c r="J151" s="50">
        <f>ROUND(F151*G151,2)</f>
      </c>
      <c r="K151" s="52" t="s">
        <v>54</v>
      </c>
      <c r="Z151" s="50">
        <f>ROUND(IF(AQ151="5",BJ151,0),2)</f>
      </c>
      <c r="AB151" s="50">
        <f>ROUND(IF(AQ151="1",BH151,0),2)</f>
      </c>
      <c r="AC151" s="50">
        <f>ROUND(IF(AQ151="1",BI151,0),2)</f>
      </c>
      <c r="AD151" s="50">
        <f>ROUND(IF(AQ151="7",BH151,0),2)</f>
      </c>
      <c r="AE151" s="50">
        <f>ROUND(IF(AQ151="7",BI151,0),2)</f>
      </c>
      <c r="AF151" s="50">
        <f>ROUND(IF(AQ151="2",BH151,0),2)</f>
      </c>
      <c r="AG151" s="50">
        <f>ROUND(IF(AQ151="2",BI151,0),2)</f>
      </c>
      <c r="AH151" s="50">
        <f>ROUND(IF(AQ151="0",BJ151,0),2)</f>
      </c>
      <c r="AI151" s="32" t="s">
        <v>47</v>
      </c>
      <c r="AJ151" s="50">
        <f>IF(AN151=0,J151,0)</f>
      </c>
      <c r="AK151" s="50">
        <f>IF(AN151=12,J151,0)</f>
      </c>
      <c r="AL151" s="50">
        <f>IF(AN151=21,J151,0)</f>
      </c>
      <c r="AN151" s="50" t="n">
        <v>21</v>
      </c>
      <c r="AO151" s="50">
        <f>G151*0.060907589</f>
      </c>
      <c r="AP151" s="50">
        <f>G151*(1-0.060907589)</f>
      </c>
      <c r="AQ151" s="53" t="s">
        <v>50</v>
      </c>
      <c r="AV151" s="50">
        <f>ROUND(AW151+AX151,2)</f>
      </c>
      <c r="AW151" s="50">
        <f>ROUND(F151*AO151,2)</f>
      </c>
      <c r="AX151" s="50">
        <f>ROUND(F151*AP151,2)</f>
      </c>
      <c r="AY151" s="53" t="s">
        <v>422</v>
      </c>
      <c r="AZ151" s="53" t="s">
        <v>405</v>
      </c>
      <c r="BA151" s="32" t="s">
        <v>57</v>
      </c>
      <c r="BC151" s="50">
        <f>AW151+AX151</f>
      </c>
      <c r="BD151" s="50">
        <f>G151/(100-BE151)*100</f>
      </c>
      <c r="BE151" s="50" t="n">
        <v>0</v>
      </c>
      <c r="BF151" s="50">
        <f>151</f>
      </c>
      <c r="BH151" s="50">
        <f>F151*AO151</f>
      </c>
      <c r="BI151" s="50">
        <f>F151*AP151</f>
      </c>
      <c r="BJ151" s="50">
        <f>F151*G151</f>
      </c>
      <c r="BK151" s="53" t="s">
        <v>58</v>
      </c>
      <c r="BL151" s="50" t="n">
        <v>96</v>
      </c>
      <c r="BW151" s="50" t="n">
        <v>21</v>
      </c>
      <c r="BX151" s="16" t="s">
        <v>431</v>
      </c>
    </row>
    <row r="152">
      <c r="A152" s="10" t="s">
        <v>432</v>
      </c>
      <c r="B152" s="11" t="s">
        <v>433</v>
      </c>
      <c r="C152" s="16" t="s">
        <v>434</v>
      </c>
      <c r="D152" s="11"/>
      <c r="E152" s="11" t="s">
        <v>65</v>
      </c>
      <c r="F152" s="50" t="n">
        <v>2.51</v>
      </c>
      <c r="G152" s="51" t="n">
        <v>0</v>
      </c>
      <c r="H152" s="50">
        <f>ROUND(F152*AO152,2)</f>
      </c>
      <c r="I152" s="50">
        <f>ROUND(F152*AP152,2)</f>
      </c>
      <c r="J152" s="50">
        <f>ROUND(F152*G152,2)</f>
      </c>
      <c r="K152" s="52" t="s">
        <v>54</v>
      </c>
      <c r="Z152" s="50">
        <f>ROUND(IF(AQ152="5",BJ152,0),2)</f>
      </c>
      <c r="AB152" s="50">
        <f>ROUND(IF(AQ152="1",BH152,0),2)</f>
      </c>
      <c r="AC152" s="50">
        <f>ROUND(IF(AQ152="1",BI152,0),2)</f>
      </c>
      <c r="AD152" s="50">
        <f>ROUND(IF(AQ152="7",BH152,0),2)</f>
      </c>
      <c r="AE152" s="50">
        <f>ROUND(IF(AQ152="7",BI152,0),2)</f>
      </c>
      <c r="AF152" s="50">
        <f>ROUND(IF(AQ152="2",BH152,0),2)</f>
      </c>
      <c r="AG152" s="50">
        <f>ROUND(IF(AQ152="2",BI152,0),2)</f>
      </c>
      <c r="AH152" s="50">
        <f>ROUND(IF(AQ152="0",BJ152,0),2)</f>
      </c>
      <c r="AI152" s="32" t="s">
        <v>47</v>
      </c>
      <c r="AJ152" s="50">
        <f>IF(AN152=0,J152,0)</f>
      </c>
      <c r="AK152" s="50">
        <f>IF(AN152=12,J152,0)</f>
      </c>
      <c r="AL152" s="50">
        <f>IF(AN152=21,J152,0)</f>
      </c>
      <c r="AN152" s="50" t="n">
        <v>21</v>
      </c>
      <c r="AO152" s="50">
        <f>G152*0.067541799</f>
      </c>
      <c r="AP152" s="50">
        <f>G152*(1-0.067541799)</f>
      </c>
      <c r="AQ152" s="53" t="s">
        <v>50</v>
      </c>
      <c r="AV152" s="50">
        <f>ROUND(AW152+AX152,2)</f>
      </c>
      <c r="AW152" s="50">
        <f>ROUND(F152*AO152,2)</f>
      </c>
      <c r="AX152" s="50">
        <f>ROUND(F152*AP152,2)</f>
      </c>
      <c r="AY152" s="53" t="s">
        <v>422</v>
      </c>
      <c r="AZ152" s="53" t="s">
        <v>405</v>
      </c>
      <c r="BA152" s="32" t="s">
        <v>57</v>
      </c>
      <c r="BC152" s="50">
        <f>AW152+AX152</f>
      </c>
      <c r="BD152" s="50">
        <f>G152/(100-BE152)*100</f>
      </c>
      <c r="BE152" s="50" t="n">
        <v>0</v>
      </c>
      <c r="BF152" s="50">
        <f>152</f>
      </c>
      <c r="BH152" s="50">
        <f>F152*AO152</f>
      </c>
      <c r="BI152" s="50">
        <f>F152*AP152</f>
      </c>
      <c r="BJ152" s="50">
        <f>F152*G152</f>
      </c>
      <c r="BK152" s="53" t="s">
        <v>58</v>
      </c>
      <c r="BL152" s="50" t="n">
        <v>96</v>
      </c>
      <c r="BW152" s="50" t="n">
        <v>21</v>
      </c>
      <c r="BX152" s="16" t="s">
        <v>434</v>
      </c>
    </row>
    <row r="153">
      <c r="A153" s="10" t="s">
        <v>435</v>
      </c>
      <c r="B153" s="11" t="s">
        <v>436</v>
      </c>
      <c r="C153" s="16" t="s">
        <v>437</v>
      </c>
      <c r="D153" s="11"/>
      <c r="E153" s="11" t="s">
        <v>65</v>
      </c>
      <c r="F153" s="50" t="n">
        <v>1.32</v>
      </c>
      <c r="G153" s="51" t="n">
        <v>0</v>
      </c>
      <c r="H153" s="50">
        <f>ROUND(F153*AO153,2)</f>
      </c>
      <c r="I153" s="50">
        <f>ROUND(F153*AP153,2)</f>
      </c>
      <c r="J153" s="50">
        <f>ROUND(F153*G153,2)</f>
      </c>
      <c r="K153" s="52" t="s">
        <v>54</v>
      </c>
      <c r="Z153" s="50">
        <f>ROUND(IF(AQ153="5",BJ153,0),2)</f>
      </c>
      <c r="AB153" s="50">
        <f>ROUND(IF(AQ153="1",BH153,0),2)</f>
      </c>
      <c r="AC153" s="50">
        <f>ROUND(IF(AQ153="1",BI153,0),2)</f>
      </c>
      <c r="AD153" s="50">
        <f>ROUND(IF(AQ153="7",BH153,0),2)</f>
      </c>
      <c r="AE153" s="50">
        <f>ROUND(IF(AQ153="7",BI153,0),2)</f>
      </c>
      <c r="AF153" s="50">
        <f>ROUND(IF(AQ153="2",BH153,0),2)</f>
      </c>
      <c r="AG153" s="50">
        <f>ROUND(IF(AQ153="2",BI153,0),2)</f>
      </c>
      <c r="AH153" s="50">
        <f>ROUND(IF(AQ153="0",BJ153,0),2)</f>
      </c>
      <c r="AI153" s="32" t="s">
        <v>47</v>
      </c>
      <c r="AJ153" s="50">
        <f>IF(AN153=0,J153,0)</f>
      </c>
      <c r="AK153" s="50">
        <f>IF(AN153=12,J153,0)</f>
      </c>
      <c r="AL153" s="50">
        <f>IF(AN153=21,J153,0)</f>
      </c>
      <c r="AN153" s="50" t="n">
        <v>21</v>
      </c>
      <c r="AO153" s="50">
        <f>G153*0.082864896</f>
      </c>
      <c r="AP153" s="50">
        <f>G153*(1-0.082864896)</f>
      </c>
      <c r="AQ153" s="53" t="s">
        <v>50</v>
      </c>
      <c r="AV153" s="50">
        <f>ROUND(AW153+AX153,2)</f>
      </c>
      <c r="AW153" s="50">
        <f>ROUND(F153*AO153,2)</f>
      </c>
      <c r="AX153" s="50">
        <f>ROUND(F153*AP153,2)</f>
      </c>
      <c r="AY153" s="53" t="s">
        <v>422</v>
      </c>
      <c r="AZ153" s="53" t="s">
        <v>405</v>
      </c>
      <c r="BA153" s="32" t="s">
        <v>57</v>
      </c>
      <c r="BC153" s="50">
        <f>AW153+AX153</f>
      </c>
      <c r="BD153" s="50">
        <f>G153/(100-BE153)*100</f>
      </c>
      <c r="BE153" s="50" t="n">
        <v>0</v>
      </c>
      <c r="BF153" s="50">
        <f>153</f>
      </c>
      <c r="BH153" s="50">
        <f>F153*AO153</f>
      </c>
      <c r="BI153" s="50">
        <f>F153*AP153</f>
      </c>
      <c r="BJ153" s="50">
        <f>F153*G153</f>
      </c>
      <c r="BK153" s="53" t="s">
        <v>58</v>
      </c>
      <c r="BL153" s="50" t="n">
        <v>96</v>
      </c>
      <c r="BW153" s="50" t="n">
        <v>21</v>
      </c>
      <c r="BX153" s="16" t="s">
        <v>437</v>
      </c>
    </row>
    <row r="154">
      <c r="A154" s="10" t="s">
        <v>438</v>
      </c>
      <c r="B154" s="11" t="s">
        <v>439</v>
      </c>
      <c r="C154" s="16" t="s">
        <v>440</v>
      </c>
      <c r="D154" s="11"/>
      <c r="E154" s="11" t="s">
        <v>53</v>
      </c>
      <c r="F154" s="50" t="n">
        <v>10</v>
      </c>
      <c r="G154" s="51" t="n">
        <v>0</v>
      </c>
      <c r="H154" s="50">
        <f>ROUND(F154*AO154,2)</f>
      </c>
      <c r="I154" s="50">
        <f>ROUND(F154*AP154,2)</f>
      </c>
      <c r="J154" s="50">
        <f>ROUND(F154*G154,2)</f>
      </c>
      <c r="K154" s="52" t="s">
        <v>54</v>
      </c>
      <c r="Z154" s="50">
        <f>ROUND(IF(AQ154="5",BJ154,0),2)</f>
      </c>
      <c r="AB154" s="50">
        <f>ROUND(IF(AQ154="1",BH154,0),2)</f>
      </c>
      <c r="AC154" s="50">
        <f>ROUND(IF(AQ154="1",BI154,0),2)</f>
      </c>
      <c r="AD154" s="50">
        <f>ROUND(IF(AQ154="7",BH154,0),2)</f>
      </c>
      <c r="AE154" s="50">
        <f>ROUND(IF(AQ154="7",BI154,0),2)</f>
      </c>
      <c r="AF154" s="50">
        <f>ROUND(IF(AQ154="2",BH154,0),2)</f>
      </c>
      <c r="AG154" s="50">
        <f>ROUND(IF(AQ154="2",BI154,0),2)</f>
      </c>
      <c r="AH154" s="50">
        <f>ROUND(IF(AQ154="0",BJ154,0),2)</f>
      </c>
      <c r="AI154" s="32" t="s">
        <v>47</v>
      </c>
      <c r="AJ154" s="50">
        <f>IF(AN154=0,J154,0)</f>
      </c>
      <c r="AK154" s="50">
        <f>IF(AN154=12,J154,0)</f>
      </c>
      <c r="AL154" s="50">
        <f>IF(AN154=21,J154,0)</f>
      </c>
      <c r="AN154" s="50" t="n">
        <v>21</v>
      </c>
      <c r="AO154" s="50">
        <f>G154*0</f>
      </c>
      <c r="AP154" s="50">
        <f>G154*(1-0)</f>
      </c>
      <c r="AQ154" s="53" t="s">
        <v>50</v>
      </c>
      <c r="AV154" s="50">
        <f>ROUND(AW154+AX154,2)</f>
      </c>
      <c r="AW154" s="50">
        <f>ROUND(F154*AO154,2)</f>
      </c>
      <c r="AX154" s="50">
        <f>ROUND(F154*AP154,2)</f>
      </c>
      <c r="AY154" s="53" t="s">
        <v>422</v>
      </c>
      <c r="AZ154" s="53" t="s">
        <v>405</v>
      </c>
      <c r="BA154" s="32" t="s">
        <v>57</v>
      </c>
      <c r="BC154" s="50">
        <f>AW154+AX154</f>
      </c>
      <c r="BD154" s="50">
        <f>G154/(100-BE154)*100</f>
      </c>
      <c r="BE154" s="50" t="n">
        <v>0</v>
      </c>
      <c r="BF154" s="50">
        <f>154</f>
      </c>
      <c r="BH154" s="50">
        <f>F154*AO154</f>
      </c>
      <c r="BI154" s="50">
        <f>F154*AP154</f>
      </c>
      <c r="BJ154" s="50">
        <f>F154*G154</f>
      </c>
      <c r="BK154" s="53" t="s">
        <v>58</v>
      </c>
      <c r="BL154" s="50" t="n">
        <v>96</v>
      </c>
      <c r="BW154" s="50" t="n">
        <v>21</v>
      </c>
      <c r="BX154" s="16" t="s">
        <v>440</v>
      </c>
    </row>
    <row r="155">
      <c r="A155" s="10" t="s">
        <v>441</v>
      </c>
      <c r="B155" s="11" t="s">
        <v>442</v>
      </c>
      <c r="C155" s="16" t="s">
        <v>443</v>
      </c>
      <c r="D155" s="11"/>
      <c r="E155" s="11" t="s">
        <v>65</v>
      </c>
      <c r="F155" s="50" t="n">
        <v>23.37</v>
      </c>
      <c r="G155" s="51" t="n">
        <v>0</v>
      </c>
      <c r="H155" s="50">
        <f>ROUND(F155*AO155,2)</f>
      </c>
      <c r="I155" s="50">
        <f>ROUND(F155*AP155,2)</f>
      </c>
      <c r="J155" s="50">
        <f>ROUND(F155*G155,2)</f>
      </c>
      <c r="K155" s="52" t="s">
        <v>54</v>
      </c>
      <c r="Z155" s="50">
        <f>ROUND(IF(AQ155="5",BJ155,0),2)</f>
      </c>
      <c r="AB155" s="50">
        <f>ROUND(IF(AQ155="1",BH155,0),2)</f>
      </c>
      <c r="AC155" s="50">
        <f>ROUND(IF(AQ155="1",BI155,0),2)</f>
      </c>
      <c r="AD155" s="50">
        <f>ROUND(IF(AQ155="7",BH155,0),2)</f>
      </c>
      <c r="AE155" s="50">
        <f>ROUND(IF(AQ155="7",BI155,0),2)</f>
      </c>
      <c r="AF155" s="50">
        <f>ROUND(IF(AQ155="2",BH155,0),2)</f>
      </c>
      <c r="AG155" s="50">
        <f>ROUND(IF(AQ155="2",BI155,0),2)</f>
      </c>
      <c r="AH155" s="50">
        <f>ROUND(IF(AQ155="0",BJ155,0),2)</f>
      </c>
      <c r="AI155" s="32" t="s">
        <v>47</v>
      </c>
      <c r="AJ155" s="50">
        <f>IF(AN155=0,J155,0)</f>
      </c>
      <c r="AK155" s="50">
        <f>IF(AN155=12,J155,0)</f>
      </c>
      <c r="AL155" s="50">
        <f>IF(AN155=21,J155,0)</f>
      </c>
      <c r="AN155" s="50" t="n">
        <v>21</v>
      </c>
      <c r="AO155" s="50">
        <f>G155*0</f>
      </c>
      <c r="AP155" s="50">
        <f>G155*(1-0)</f>
      </c>
      <c r="AQ155" s="53" t="s">
        <v>50</v>
      </c>
      <c r="AV155" s="50">
        <f>ROUND(AW155+AX155,2)</f>
      </c>
      <c r="AW155" s="50">
        <f>ROUND(F155*AO155,2)</f>
      </c>
      <c r="AX155" s="50">
        <f>ROUND(F155*AP155,2)</f>
      </c>
      <c r="AY155" s="53" t="s">
        <v>422</v>
      </c>
      <c r="AZ155" s="53" t="s">
        <v>405</v>
      </c>
      <c r="BA155" s="32" t="s">
        <v>57</v>
      </c>
      <c r="BC155" s="50">
        <f>AW155+AX155</f>
      </c>
      <c r="BD155" s="50">
        <f>G155/(100-BE155)*100</f>
      </c>
      <c r="BE155" s="50" t="n">
        <v>0</v>
      </c>
      <c r="BF155" s="50">
        <f>155</f>
      </c>
      <c r="BH155" s="50">
        <f>F155*AO155</f>
      </c>
      <c r="BI155" s="50">
        <f>F155*AP155</f>
      </c>
      <c r="BJ155" s="50">
        <f>F155*G155</f>
      </c>
      <c r="BK155" s="53" t="s">
        <v>58</v>
      </c>
      <c r="BL155" s="50" t="n">
        <v>96</v>
      </c>
      <c r="BW155" s="50" t="n">
        <v>21</v>
      </c>
      <c r="BX155" s="16" t="s">
        <v>443</v>
      </c>
    </row>
    <row r="156">
      <c r="A156" s="10" t="s">
        <v>444</v>
      </c>
      <c r="B156" s="11" t="s">
        <v>445</v>
      </c>
      <c r="C156" s="16" t="s">
        <v>446</v>
      </c>
      <c r="D156" s="11"/>
      <c r="E156" s="11" t="s">
        <v>129</v>
      </c>
      <c r="F156" s="50" t="n">
        <v>5</v>
      </c>
      <c r="G156" s="51" t="n">
        <v>0</v>
      </c>
      <c r="H156" s="50">
        <f>ROUND(F156*AO156,2)</f>
      </c>
      <c r="I156" s="50">
        <f>ROUND(F156*AP156,2)</f>
      </c>
      <c r="J156" s="50">
        <f>ROUND(F156*G156,2)</f>
      </c>
      <c r="K156" s="52" t="s">
        <v>54</v>
      </c>
      <c r="Z156" s="50">
        <f>ROUND(IF(AQ156="5",BJ156,0),2)</f>
      </c>
      <c r="AB156" s="50">
        <f>ROUND(IF(AQ156="1",BH156,0),2)</f>
      </c>
      <c r="AC156" s="50">
        <f>ROUND(IF(AQ156="1",BI156,0),2)</f>
      </c>
      <c r="AD156" s="50">
        <f>ROUND(IF(AQ156="7",BH156,0),2)</f>
      </c>
      <c r="AE156" s="50">
        <f>ROUND(IF(AQ156="7",BI156,0),2)</f>
      </c>
      <c r="AF156" s="50">
        <f>ROUND(IF(AQ156="2",BH156,0),2)</f>
      </c>
      <c r="AG156" s="50">
        <f>ROUND(IF(AQ156="2",BI156,0),2)</f>
      </c>
      <c r="AH156" s="50">
        <f>ROUND(IF(AQ156="0",BJ156,0),2)</f>
      </c>
      <c r="AI156" s="32" t="s">
        <v>47</v>
      </c>
      <c r="AJ156" s="50">
        <f>IF(AN156=0,J156,0)</f>
      </c>
      <c r="AK156" s="50">
        <f>IF(AN156=12,J156,0)</f>
      </c>
      <c r="AL156" s="50">
        <f>IF(AN156=21,J156,0)</f>
      </c>
      <c r="AN156" s="50" t="n">
        <v>21</v>
      </c>
      <c r="AO156" s="50">
        <f>G156*0</f>
      </c>
      <c r="AP156" s="50">
        <f>G156*(1-0)</f>
      </c>
      <c r="AQ156" s="53" t="s">
        <v>50</v>
      </c>
      <c r="AV156" s="50">
        <f>ROUND(AW156+AX156,2)</f>
      </c>
      <c r="AW156" s="50">
        <f>ROUND(F156*AO156,2)</f>
      </c>
      <c r="AX156" s="50">
        <f>ROUND(F156*AP156,2)</f>
      </c>
      <c r="AY156" s="53" t="s">
        <v>422</v>
      </c>
      <c r="AZ156" s="53" t="s">
        <v>405</v>
      </c>
      <c r="BA156" s="32" t="s">
        <v>57</v>
      </c>
      <c r="BC156" s="50">
        <f>AW156+AX156</f>
      </c>
      <c r="BD156" s="50">
        <f>G156/(100-BE156)*100</f>
      </c>
      <c r="BE156" s="50" t="n">
        <v>0</v>
      </c>
      <c r="BF156" s="50">
        <f>156</f>
      </c>
      <c r="BH156" s="50">
        <f>F156*AO156</f>
      </c>
      <c r="BI156" s="50">
        <f>F156*AP156</f>
      </c>
      <c r="BJ156" s="50">
        <f>F156*G156</f>
      </c>
      <c r="BK156" s="53" t="s">
        <v>58</v>
      </c>
      <c r="BL156" s="50" t="n">
        <v>96</v>
      </c>
      <c r="BW156" s="50" t="n">
        <v>21</v>
      </c>
      <c r="BX156" s="16" t="s">
        <v>446</v>
      </c>
    </row>
    <row r="157" customHeight="true" ht="13.5">
      <c r="A157" s="54"/>
      <c r="C157" s="55" t="s">
        <v>447</v>
      </c>
      <c r="D157" s="56"/>
      <c r="E157" s="56"/>
      <c r="F157" s="56"/>
      <c r="G157" s="57"/>
      <c r="H157" s="56"/>
      <c r="I157" s="56"/>
      <c r="J157" s="56"/>
      <c r="K157" s="58"/>
    </row>
    <row r="158">
      <c r="A158" s="59" t="s">
        <v>47</v>
      </c>
      <c r="B158" s="60" t="s">
        <v>426</v>
      </c>
      <c r="C158" s="61" t="s">
        <v>448</v>
      </c>
      <c r="D158" s="60"/>
      <c r="E158" s="62" t="s">
        <v>4</v>
      </c>
      <c r="F158" s="62" t="s">
        <v>4</v>
      </c>
      <c r="G158" s="63" t="s">
        <v>4</v>
      </c>
      <c r="H158" s="2">
        <f>SUM(H159:H160)</f>
      </c>
      <c r="I158" s="2">
        <f>SUM(I159:I160)</f>
      </c>
      <c r="J158" s="2">
        <f>SUM(J159:J160)</f>
      </c>
      <c r="K158" s="64" t="s">
        <v>47</v>
      </c>
      <c r="AI158" s="32" t="s">
        <v>47</v>
      </c>
      <c r="AS158" s="2">
        <f>SUM(AJ159:AJ160)</f>
      </c>
      <c r="AT158" s="2">
        <f>SUM(AK159:AK160)</f>
      </c>
      <c r="AU158" s="2">
        <f>SUM(AL159:AL160)</f>
      </c>
    </row>
    <row r="159">
      <c r="A159" s="10" t="s">
        <v>449</v>
      </c>
      <c r="B159" s="11" t="s">
        <v>450</v>
      </c>
      <c r="C159" s="16" t="s">
        <v>451</v>
      </c>
      <c r="D159" s="11"/>
      <c r="E159" s="11" t="s">
        <v>65</v>
      </c>
      <c r="F159" s="50" t="n">
        <v>5</v>
      </c>
      <c r="G159" s="51" t="n">
        <v>0</v>
      </c>
      <c r="H159" s="50">
        <f>ROUND(F159*AO159,2)</f>
      </c>
      <c r="I159" s="50">
        <f>ROUND(F159*AP159,2)</f>
      </c>
      <c r="J159" s="50">
        <f>ROUND(F159*G159,2)</f>
      </c>
      <c r="K159" s="52" t="s">
        <v>54</v>
      </c>
      <c r="Z159" s="50">
        <f>ROUND(IF(AQ159="5",BJ159,0),2)</f>
      </c>
      <c r="AB159" s="50">
        <f>ROUND(IF(AQ159="1",BH159,0),2)</f>
      </c>
      <c r="AC159" s="50">
        <f>ROUND(IF(AQ159="1",BI159,0),2)</f>
      </c>
      <c r="AD159" s="50">
        <f>ROUND(IF(AQ159="7",BH159,0),2)</f>
      </c>
      <c r="AE159" s="50">
        <f>ROUND(IF(AQ159="7",BI159,0),2)</f>
      </c>
      <c r="AF159" s="50">
        <f>ROUND(IF(AQ159="2",BH159,0),2)</f>
      </c>
      <c r="AG159" s="50">
        <f>ROUND(IF(AQ159="2",BI159,0),2)</f>
      </c>
      <c r="AH159" s="50">
        <f>ROUND(IF(AQ159="0",BJ159,0),2)</f>
      </c>
      <c r="AI159" s="32" t="s">
        <v>47</v>
      </c>
      <c r="AJ159" s="50">
        <f>IF(AN159=0,J159,0)</f>
      </c>
      <c r="AK159" s="50">
        <f>IF(AN159=12,J159,0)</f>
      </c>
      <c r="AL159" s="50">
        <f>IF(AN159=21,J159,0)</f>
      </c>
      <c r="AN159" s="50" t="n">
        <v>21</v>
      </c>
      <c r="AO159" s="50">
        <f>G159*0</f>
      </c>
      <c r="AP159" s="50">
        <f>G159*(1-0)</f>
      </c>
      <c r="AQ159" s="53" t="s">
        <v>50</v>
      </c>
      <c r="AV159" s="50">
        <f>ROUND(AW159+AX159,2)</f>
      </c>
      <c r="AW159" s="50">
        <f>ROUND(F159*AO159,2)</f>
      </c>
      <c r="AX159" s="50">
        <f>ROUND(F159*AP159,2)</f>
      </c>
      <c r="AY159" s="53" t="s">
        <v>452</v>
      </c>
      <c r="AZ159" s="53" t="s">
        <v>405</v>
      </c>
      <c r="BA159" s="32" t="s">
        <v>57</v>
      </c>
      <c r="BC159" s="50">
        <f>AW159+AX159</f>
      </c>
      <c r="BD159" s="50">
        <f>G159/(100-BE159)*100</f>
      </c>
      <c r="BE159" s="50" t="n">
        <v>0</v>
      </c>
      <c r="BF159" s="50">
        <f>159</f>
      </c>
      <c r="BH159" s="50">
        <f>F159*AO159</f>
      </c>
      <c r="BI159" s="50">
        <f>F159*AP159</f>
      </c>
      <c r="BJ159" s="50">
        <f>F159*G159</f>
      </c>
      <c r="BK159" s="53" t="s">
        <v>58</v>
      </c>
      <c r="BL159" s="50" t="n">
        <v>97</v>
      </c>
      <c r="BW159" s="50" t="n">
        <v>21</v>
      </c>
      <c r="BX159" s="16" t="s">
        <v>451</v>
      </c>
    </row>
    <row r="160">
      <c r="A160" s="10" t="s">
        <v>453</v>
      </c>
      <c r="B160" s="11" t="s">
        <v>454</v>
      </c>
      <c r="C160" s="16" t="s">
        <v>455</v>
      </c>
      <c r="D160" s="11"/>
      <c r="E160" s="11" t="s">
        <v>65</v>
      </c>
      <c r="F160" s="50" t="n">
        <v>70.374</v>
      </c>
      <c r="G160" s="51" t="n">
        <v>0</v>
      </c>
      <c r="H160" s="50">
        <f>ROUND(F160*AO160,2)</f>
      </c>
      <c r="I160" s="50">
        <f>ROUND(F160*AP160,2)</f>
      </c>
      <c r="J160" s="50">
        <f>ROUND(F160*G160,2)</f>
      </c>
      <c r="K160" s="52" t="s">
        <v>54</v>
      </c>
      <c r="Z160" s="50">
        <f>ROUND(IF(AQ160="5",BJ160,0),2)</f>
      </c>
      <c r="AB160" s="50">
        <f>ROUND(IF(AQ160="1",BH160,0),2)</f>
      </c>
      <c r="AC160" s="50">
        <f>ROUND(IF(AQ160="1",BI160,0),2)</f>
      </c>
      <c r="AD160" s="50">
        <f>ROUND(IF(AQ160="7",BH160,0),2)</f>
      </c>
      <c r="AE160" s="50">
        <f>ROUND(IF(AQ160="7",BI160,0),2)</f>
      </c>
      <c r="AF160" s="50">
        <f>ROUND(IF(AQ160="2",BH160,0),2)</f>
      </c>
      <c r="AG160" s="50">
        <f>ROUND(IF(AQ160="2",BI160,0),2)</f>
      </c>
      <c r="AH160" s="50">
        <f>ROUND(IF(AQ160="0",BJ160,0),2)</f>
      </c>
      <c r="AI160" s="32" t="s">
        <v>47</v>
      </c>
      <c r="AJ160" s="50">
        <f>IF(AN160=0,J160,0)</f>
      </c>
      <c r="AK160" s="50">
        <f>IF(AN160=12,J160,0)</f>
      </c>
      <c r="AL160" s="50">
        <f>IF(AN160=21,J160,0)</f>
      </c>
      <c r="AN160" s="50" t="n">
        <v>21</v>
      </c>
      <c r="AO160" s="50">
        <f>G160*0</f>
      </c>
      <c r="AP160" s="50">
        <f>G160*(1-0)</f>
      </c>
      <c r="AQ160" s="53" t="s">
        <v>50</v>
      </c>
      <c r="AV160" s="50">
        <f>ROUND(AW160+AX160,2)</f>
      </c>
      <c r="AW160" s="50">
        <f>ROUND(F160*AO160,2)</f>
      </c>
      <c r="AX160" s="50">
        <f>ROUND(F160*AP160,2)</f>
      </c>
      <c r="AY160" s="53" t="s">
        <v>452</v>
      </c>
      <c r="AZ160" s="53" t="s">
        <v>405</v>
      </c>
      <c r="BA160" s="32" t="s">
        <v>57</v>
      </c>
      <c r="BC160" s="50">
        <f>AW160+AX160</f>
      </c>
      <c r="BD160" s="50">
        <f>G160/(100-BE160)*100</f>
      </c>
      <c r="BE160" s="50" t="n">
        <v>0</v>
      </c>
      <c r="BF160" s="50">
        <f>160</f>
      </c>
      <c r="BH160" s="50">
        <f>F160*AO160</f>
      </c>
      <c r="BI160" s="50">
        <f>F160*AP160</f>
      </c>
      <c r="BJ160" s="50">
        <f>F160*G160</f>
      </c>
      <c r="BK160" s="53" t="s">
        <v>58</v>
      </c>
      <c r="BL160" s="50" t="n">
        <v>97</v>
      </c>
      <c r="BW160" s="50" t="n">
        <v>21</v>
      </c>
      <c r="BX160" s="16" t="s">
        <v>455</v>
      </c>
    </row>
    <row r="161">
      <c r="A161" s="59" t="s">
        <v>47</v>
      </c>
      <c r="B161" s="60" t="s">
        <v>456</v>
      </c>
      <c r="C161" s="61" t="s">
        <v>457</v>
      </c>
      <c r="D161" s="60"/>
      <c r="E161" s="62" t="s">
        <v>4</v>
      </c>
      <c r="F161" s="62" t="s">
        <v>4</v>
      </c>
      <c r="G161" s="63" t="s">
        <v>4</v>
      </c>
      <c r="H161" s="2">
        <f>SUM(H162:H162)</f>
      </c>
      <c r="I161" s="2">
        <f>SUM(I162:I162)</f>
      </c>
      <c r="J161" s="2">
        <f>SUM(J162:J162)</f>
      </c>
      <c r="K161" s="64" t="s">
        <v>47</v>
      </c>
      <c r="AI161" s="32" t="s">
        <v>47</v>
      </c>
      <c r="AS161" s="2">
        <f>SUM(AJ162:AJ162)</f>
      </c>
      <c r="AT161" s="2">
        <f>SUM(AK162:AK162)</f>
      </c>
      <c r="AU161" s="2">
        <f>SUM(AL162:AL162)</f>
      </c>
    </row>
    <row r="162">
      <c r="A162" s="10" t="s">
        <v>458</v>
      </c>
      <c r="B162" s="11" t="s">
        <v>459</v>
      </c>
      <c r="C162" s="16" t="s">
        <v>460</v>
      </c>
      <c r="D162" s="11"/>
      <c r="E162" s="11" t="s">
        <v>272</v>
      </c>
      <c r="F162" s="50" t="n">
        <v>22.2933</v>
      </c>
      <c r="G162" s="51" t="n">
        <v>0</v>
      </c>
      <c r="H162" s="50">
        <f>ROUND(F162*AO162,2)</f>
      </c>
      <c r="I162" s="50">
        <f>ROUND(F162*AP162,2)</f>
      </c>
      <c r="J162" s="50">
        <f>ROUND(F162*G162,2)</f>
      </c>
      <c r="K162" s="52" t="s">
        <v>54</v>
      </c>
      <c r="Z162" s="50">
        <f>ROUND(IF(AQ162="5",BJ162,0),2)</f>
      </c>
      <c r="AB162" s="50">
        <f>ROUND(IF(AQ162="1",BH162,0),2)</f>
      </c>
      <c r="AC162" s="50">
        <f>ROUND(IF(AQ162="1",BI162,0),2)</f>
      </c>
      <c r="AD162" s="50">
        <f>ROUND(IF(AQ162="7",BH162,0),2)</f>
      </c>
      <c r="AE162" s="50">
        <f>ROUND(IF(AQ162="7",BI162,0),2)</f>
      </c>
      <c r="AF162" s="50">
        <f>ROUND(IF(AQ162="2",BH162,0),2)</f>
      </c>
      <c r="AG162" s="50">
        <f>ROUND(IF(AQ162="2",BI162,0),2)</f>
      </c>
      <c r="AH162" s="50">
        <f>ROUND(IF(AQ162="0",BJ162,0),2)</f>
      </c>
      <c r="AI162" s="32" t="s">
        <v>47</v>
      </c>
      <c r="AJ162" s="50">
        <f>IF(AN162=0,J162,0)</f>
      </c>
      <c r="AK162" s="50">
        <f>IF(AN162=12,J162,0)</f>
      </c>
      <c r="AL162" s="50">
        <f>IF(AN162=21,J162,0)</f>
      </c>
      <c r="AN162" s="50" t="n">
        <v>21</v>
      </c>
      <c r="AO162" s="50">
        <f>G162*0</f>
      </c>
      <c r="AP162" s="50">
        <f>G162*(1-0)</f>
      </c>
      <c r="AQ162" s="53" t="s">
        <v>74</v>
      </c>
      <c r="AV162" s="50">
        <f>ROUND(AW162+AX162,2)</f>
      </c>
      <c r="AW162" s="50">
        <f>ROUND(F162*AO162,2)</f>
      </c>
      <c r="AX162" s="50">
        <f>ROUND(F162*AP162,2)</f>
      </c>
      <c r="AY162" s="53" t="s">
        <v>461</v>
      </c>
      <c r="AZ162" s="53" t="s">
        <v>405</v>
      </c>
      <c r="BA162" s="32" t="s">
        <v>57</v>
      </c>
      <c r="BC162" s="50">
        <f>AW162+AX162</f>
      </c>
      <c r="BD162" s="50">
        <f>G162/(100-BE162)*100</f>
      </c>
      <c r="BE162" s="50" t="n">
        <v>0</v>
      </c>
      <c r="BF162" s="50">
        <f>162</f>
      </c>
      <c r="BH162" s="50">
        <f>F162*AO162</f>
      </c>
      <c r="BI162" s="50">
        <f>F162*AP162</f>
      </c>
      <c r="BJ162" s="50">
        <f>F162*G162</f>
      </c>
      <c r="BK162" s="53" t="s">
        <v>58</v>
      </c>
      <c r="BL162" s="50"/>
      <c r="BW162" s="50" t="n">
        <v>21</v>
      </c>
      <c r="BX162" s="16" t="s">
        <v>460</v>
      </c>
    </row>
    <row r="163">
      <c r="A163" s="59" t="s">
        <v>47</v>
      </c>
      <c r="B163" s="60" t="s">
        <v>462</v>
      </c>
      <c r="C163" s="61" t="s">
        <v>463</v>
      </c>
      <c r="D163" s="60"/>
      <c r="E163" s="62" t="s">
        <v>4</v>
      </c>
      <c r="F163" s="62" t="s">
        <v>4</v>
      </c>
      <c r="G163" s="63" t="s">
        <v>4</v>
      </c>
      <c r="H163" s="2">
        <f>SUM(H164:H170)</f>
      </c>
      <c r="I163" s="2">
        <f>SUM(I164:I170)</f>
      </c>
      <c r="J163" s="2">
        <f>SUM(J164:J170)</f>
      </c>
      <c r="K163" s="64" t="s">
        <v>47</v>
      </c>
      <c r="AI163" s="32" t="s">
        <v>47</v>
      </c>
      <c r="AS163" s="2">
        <f>SUM(AJ164:AJ170)</f>
      </c>
      <c r="AT163" s="2">
        <f>SUM(AK164:AK170)</f>
      </c>
      <c r="AU163" s="2">
        <f>SUM(AL164:AL170)</f>
      </c>
    </row>
    <row r="164">
      <c r="A164" s="10" t="s">
        <v>464</v>
      </c>
      <c r="B164" s="11" t="s">
        <v>465</v>
      </c>
      <c r="C164" s="16" t="s">
        <v>466</v>
      </c>
      <c r="D164" s="11"/>
      <c r="E164" s="11" t="s">
        <v>272</v>
      </c>
      <c r="F164" s="50" t="n">
        <v>22.0943</v>
      </c>
      <c r="G164" s="51" t="n">
        <v>0</v>
      </c>
      <c r="H164" s="50">
        <f>ROUND(F164*AO164,2)</f>
      </c>
      <c r="I164" s="50">
        <f>ROUND(F164*AP164,2)</f>
      </c>
      <c r="J164" s="50">
        <f>ROUND(F164*G164,2)</f>
      </c>
      <c r="K164" s="52" t="s">
        <v>54</v>
      </c>
      <c r="Z164" s="50">
        <f>ROUND(IF(AQ164="5",BJ164,0),2)</f>
      </c>
      <c r="AB164" s="50">
        <f>ROUND(IF(AQ164="1",BH164,0),2)</f>
      </c>
      <c r="AC164" s="50">
        <f>ROUND(IF(AQ164="1",BI164,0),2)</f>
      </c>
      <c r="AD164" s="50">
        <f>ROUND(IF(AQ164="7",BH164,0),2)</f>
      </c>
      <c r="AE164" s="50">
        <f>ROUND(IF(AQ164="7",BI164,0),2)</f>
      </c>
      <c r="AF164" s="50">
        <f>ROUND(IF(AQ164="2",BH164,0),2)</f>
      </c>
      <c r="AG164" s="50">
        <f>ROUND(IF(AQ164="2",BI164,0),2)</f>
      </c>
      <c r="AH164" s="50">
        <f>ROUND(IF(AQ164="0",BJ164,0),2)</f>
      </c>
      <c r="AI164" s="32" t="s">
        <v>47</v>
      </c>
      <c r="AJ164" s="50">
        <f>IF(AN164=0,J164,0)</f>
      </c>
      <c r="AK164" s="50">
        <f>IF(AN164=12,J164,0)</f>
      </c>
      <c r="AL164" s="50">
        <f>IF(AN164=21,J164,0)</f>
      </c>
      <c r="AN164" s="50" t="n">
        <v>21</v>
      </c>
      <c r="AO164" s="50">
        <f>G164*0</f>
      </c>
      <c r="AP164" s="50">
        <f>G164*(1-0)</f>
      </c>
      <c r="AQ164" s="53" t="s">
        <v>74</v>
      </c>
      <c r="AV164" s="50">
        <f>ROUND(AW164+AX164,2)</f>
      </c>
      <c r="AW164" s="50">
        <f>ROUND(F164*AO164,2)</f>
      </c>
      <c r="AX164" s="50">
        <f>ROUND(F164*AP164,2)</f>
      </c>
      <c r="AY164" s="53" t="s">
        <v>467</v>
      </c>
      <c r="AZ164" s="53" t="s">
        <v>405</v>
      </c>
      <c r="BA164" s="32" t="s">
        <v>57</v>
      </c>
      <c r="BC164" s="50">
        <f>AW164+AX164</f>
      </c>
      <c r="BD164" s="50">
        <f>G164/(100-BE164)*100</f>
      </c>
      <c r="BE164" s="50" t="n">
        <v>0</v>
      </c>
      <c r="BF164" s="50">
        <f>164</f>
      </c>
      <c r="BH164" s="50">
        <f>F164*AO164</f>
      </c>
      <c r="BI164" s="50">
        <f>F164*AP164</f>
      </c>
      <c r="BJ164" s="50">
        <f>F164*G164</f>
      </c>
      <c r="BK164" s="53" t="s">
        <v>58</v>
      </c>
      <c r="BL164" s="50"/>
      <c r="BW164" s="50" t="n">
        <v>21</v>
      </c>
      <c r="BX164" s="16" t="s">
        <v>466</v>
      </c>
    </row>
    <row r="165">
      <c r="A165" s="10" t="s">
        <v>468</v>
      </c>
      <c r="B165" s="11" t="s">
        <v>469</v>
      </c>
      <c r="C165" s="16" t="s">
        <v>470</v>
      </c>
      <c r="D165" s="11"/>
      <c r="E165" s="11" t="s">
        <v>272</v>
      </c>
      <c r="F165" s="50" t="n">
        <v>22.0943</v>
      </c>
      <c r="G165" s="51" t="n">
        <v>0</v>
      </c>
      <c r="H165" s="50">
        <f>ROUND(F165*AO165,2)</f>
      </c>
      <c r="I165" s="50">
        <f>ROUND(F165*AP165,2)</f>
      </c>
      <c r="J165" s="50">
        <f>ROUND(F165*G165,2)</f>
      </c>
      <c r="K165" s="52" t="s">
        <v>54</v>
      </c>
      <c r="Z165" s="50">
        <f>ROUND(IF(AQ165="5",BJ165,0),2)</f>
      </c>
      <c r="AB165" s="50">
        <f>ROUND(IF(AQ165="1",BH165,0),2)</f>
      </c>
      <c r="AC165" s="50">
        <f>ROUND(IF(AQ165="1",BI165,0),2)</f>
      </c>
      <c r="AD165" s="50">
        <f>ROUND(IF(AQ165="7",BH165,0),2)</f>
      </c>
      <c r="AE165" s="50">
        <f>ROUND(IF(AQ165="7",BI165,0),2)</f>
      </c>
      <c r="AF165" s="50">
        <f>ROUND(IF(AQ165="2",BH165,0),2)</f>
      </c>
      <c r="AG165" s="50">
        <f>ROUND(IF(AQ165="2",BI165,0),2)</f>
      </c>
      <c r="AH165" s="50">
        <f>ROUND(IF(AQ165="0",BJ165,0),2)</f>
      </c>
      <c r="AI165" s="32" t="s">
        <v>47</v>
      </c>
      <c r="AJ165" s="50">
        <f>IF(AN165=0,J165,0)</f>
      </c>
      <c r="AK165" s="50">
        <f>IF(AN165=12,J165,0)</f>
      </c>
      <c r="AL165" s="50">
        <f>IF(AN165=21,J165,0)</f>
      </c>
      <c r="AN165" s="50" t="n">
        <v>21</v>
      </c>
      <c r="AO165" s="50">
        <f>G165*0</f>
      </c>
      <c r="AP165" s="50">
        <f>G165*(1-0)</f>
      </c>
      <c r="AQ165" s="53" t="s">
        <v>74</v>
      </c>
      <c r="AV165" s="50">
        <f>ROUND(AW165+AX165,2)</f>
      </c>
      <c r="AW165" s="50">
        <f>ROUND(F165*AO165,2)</f>
      </c>
      <c r="AX165" s="50">
        <f>ROUND(F165*AP165,2)</f>
      </c>
      <c r="AY165" s="53" t="s">
        <v>467</v>
      </c>
      <c r="AZ165" s="53" t="s">
        <v>405</v>
      </c>
      <c r="BA165" s="32" t="s">
        <v>57</v>
      </c>
      <c r="BC165" s="50">
        <f>AW165+AX165</f>
      </c>
      <c r="BD165" s="50">
        <f>G165/(100-BE165)*100</f>
      </c>
      <c r="BE165" s="50" t="n">
        <v>0</v>
      </c>
      <c r="BF165" s="50">
        <f>165</f>
      </c>
      <c r="BH165" s="50">
        <f>F165*AO165</f>
      </c>
      <c r="BI165" s="50">
        <f>F165*AP165</f>
      </c>
      <c r="BJ165" s="50">
        <f>F165*G165</f>
      </c>
      <c r="BK165" s="53" t="s">
        <v>58</v>
      </c>
      <c r="BL165" s="50"/>
      <c r="BW165" s="50" t="n">
        <v>21</v>
      </c>
      <c r="BX165" s="16" t="s">
        <v>470</v>
      </c>
    </row>
    <row r="166">
      <c r="A166" s="10" t="s">
        <v>471</v>
      </c>
      <c r="B166" s="11" t="s">
        <v>472</v>
      </c>
      <c r="C166" s="16" t="s">
        <v>473</v>
      </c>
      <c r="D166" s="11"/>
      <c r="E166" s="11" t="s">
        <v>272</v>
      </c>
      <c r="F166" s="50" t="n">
        <v>22.0943</v>
      </c>
      <c r="G166" s="51" t="n">
        <v>0</v>
      </c>
      <c r="H166" s="50">
        <f>ROUND(F166*AO166,2)</f>
      </c>
      <c r="I166" s="50">
        <f>ROUND(F166*AP166,2)</f>
      </c>
      <c r="J166" s="50">
        <f>ROUND(F166*G166,2)</f>
      </c>
      <c r="K166" s="52" t="s">
        <v>54</v>
      </c>
      <c r="Z166" s="50">
        <f>ROUND(IF(AQ166="5",BJ166,0),2)</f>
      </c>
      <c r="AB166" s="50">
        <f>ROUND(IF(AQ166="1",BH166,0),2)</f>
      </c>
      <c r="AC166" s="50">
        <f>ROUND(IF(AQ166="1",BI166,0),2)</f>
      </c>
      <c r="AD166" s="50">
        <f>ROUND(IF(AQ166="7",BH166,0),2)</f>
      </c>
      <c r="AE166" s="50">
        <f>ROUND(IF(AQ166="7",BI166,0),2)</f>
      </c>
      <c r="AF166" s="50">
        <f>ROUND(IF(AQ166="2",BH166,0),2)</f>
      </c>
      <c r="AG166" s="50">
        <f>ROUND(IF(AQ166="2",BI166,0),2)</f>
      </c>
      <c r="AH166" s="50">
        <f>ROUND(IF(AQ166="0",BJ166,0),2)</f>
      </c>
      <c r="AI166" s="32" t="s">
        <v>47</v>
      </c>
      <c r="AJ166" s="50">
        <f>IF(AN166=0,J166,0)</f>
      </c>
      <c r="AK166" s="50">
        <f>IF(AN166=12,J166,0)</f>
      </c>
      <c r="AL166" s="50">
        <f>IF(AN166=21,J166,0)</f>
      </c>
      <c r="AN166" s="50" t="n">
        <v>21</v>
      </c>
      <c r="AO166" s="50">
        <f>G166*0</f>
      </c>
      <c r="AP166" s="50">
        <f>G166*(1-0)</f>
      </c>
      <c r="AQ166" s="53" t="s">
        <v>74</v>
      </c>
      <c r="AV166" s="50">
        <f>ROUND(AW166+AX166,2)</f>
      </c>
      <c r="AW166" s="50">
        <f>ROUND(F166*AO166,2)</f>
      </c>
      <c r="AX166" s="50">
        <f>ROUND(F166*AP166,2)</f>
      </c>
      <c r="AY166" s="53" t="s">
        <v>467</v>
      </c>
      <c r="AZ166" s="53" t="s">
        <v>405</v>
      </c>
      <c r="BA166" s="32" t="s">
        <v>57</v>
      </c>
      <c r="BC166" s="50">
        <f>AW166+AX166</f>
      </c>
      <c r="BD166" s="50">
        <f>G166/(100-BE166)*100</f>
      </c>
      <c r="BE166" s="50" t="n">
        <v>0</v>
      </c>
      <c r="BF166" s="50">
        <f>166</f>
      </c>
      <c r="BH166" s="50">
        <f>F166*AO166</f>
      </c>
      <c r="BI166" s="50">
        <f>F166*AP166</f>
      </c>
      <c r="BJ166" s="50">
        <f>F166*G166</f>
      </c>
      <c r="BK166" s="53" t="s">
        <v>58</v>
      </c>
      <c r="BL166" s="50"/>
      <c r="BW166" s="50" t="n">
        <v>21</v>
      </c>
      <c r="BX166" s="16" t="s">
        <v>473</v>
      </c>
    </row>
    <row r="167">
      <c r="A167" s="10" t="s">
        <v>474</v>
      </c>
      <c r="B167" s="11" t="s">
        <v>475</v>
      </c>
      <c r="C167" s="16" t="s">
        <v>476</v>
      </c>
      <c r="D167" s="11"/>
      <c r="E167" s="11" t="s">
        <v>272</v>
      </c>
      <c r="F167" s="50" t="n">
        <v>22.0943</v>
      </c>
      <c r="G167" s="51" t="n">
        <v>0</v>
      </c>
      <c r="H167" s="50">
        <f>ROUND(F167*AO167,2)</f>
      </c>
      <c r="I167" s="50">
        <f>ROUND(F167*AP167,2)</f>
      </c>
      <c r="J167" s="50">
        <f>ROUND(F167*G167,2)</f>
      </c>
      <c r="K167" s="52" t="s">
        <v>54</v>
      </c>
      <c r="Z167" s="50">
        <f>ROUND(IF(AQ167="5",BJ167,0),2)</f>
      </c>
      <c r="AB167" s="50">
        <f>ROUND(IF(AQ167="1",BH167,0),2)</f>
      </c>
      <c r="AC167" s="50">
        <f>ROUND(IF(AQ167="1",BI167,0),2)</f>
      </c>
      <c r="AD167" s="50">
        <f>ROUND(IF(AQ167="7",BH167,0),2)</f>
      </c>
      <c r="AE167" s="50">
        <f>ROUND(IF(AQ167="7",BI167,0),2)</f>
      </c>
      <c r="AF167" s="50">
        <f>ROUND(IF(AQ167="2",BH167,0),2)</f>
      </c>
      <c r="AG167" s="50">
        <f>ROUND(IF(AQ167="2",BI167,0),2)</f>
      </c>
      <c r="AH167" s="50">
        <f>ROUND(IF(AQ167="0",BJ167,0),2)</f>
      </c>
      <c r="AI167" s="32" t="s">
        <v>47</v>
      </c>
      <c r="AJ167" s="50">
        <f>IF(AN167=0,J167,0)</f>
      </c>
      <c r="AK167" s="50">
        <f>IF(AN167=12,J167,0)</f>
      </c>
      <c r="AL167" s="50">
        <f>IF(AN167=21,J167,0)</f>
      </c>
      <c r="AN167" s="50" t="n">
        <v>21</v>
      </c>
      <c r="AO167" s="50">
        <f>G167*0</f>
      </c>
      <c r="AP167" s="50">
        <f>G167*(1-0)</f>
      </c>
      <c r="AQ167" s="53" t="s">
        <v>74</v>
      </c>
      <c r="AV167" s="50">
        <f>ROUND(AW167+AX167,2)</f>
      </c>
      <c r="AW167" s="50">
        <f>ROUND(F167*AO167,2)</f>
      </c>
      <c r="AX167" s="50">
        <f>ROUND(F167*AP167,2)</f>
      </c>
      <c r="AY167" s="53" t="s">
        <v>467</v>
      </c>
      <c r="AZ167" s="53" t="s">
        <v>405</v>
      </c>
      <c r="BA167" s="32" t="s">
        <v>57</v>
      </c>
      <c r="BC167" s="50">
        <f>AW167+AX167</f>
      </c>
      <c r="BD167" s="50">
        <f>G167/(100-BE167)*100</f>
      </c>
      <c r="BE167" s="50" t="n">
        <v>0</v>
      </c>
      <c r="BF167" s="50">
        <f>167</f>
      </c>
      <c r="BH167" s="50">
        <f>F167*AO167</f>
      </c>
      <c r="BI167" s="50">
        <f>F167*AP167</f>
      </c>
      <c r="BJ167" s="50">
        <f>F167*G167</f>
      </c>
      <c r="BK167" s="53" t="s">
        <v>58</v>
      </c>
      <c r="BL167" s="50"/>
      <c r="BW167" s="50" t="n">
        <v>21</v>
      </c>
      <c r="BX167" s="16" t="s">
        <v>476</v>
      </c>
    </row>
    <row r="168">
      <c r="A168" s="10" t="s">
        <v>477</v>
      </c>
      <c r="B168" s="11" t="s">
        <v>478</v>
      </c>
      <c r="C168" s="16" t="s">
        <v>479</v>
      </c>
      <c r="D168" s="11"/>
      <c r="E168" s="11" t="s">
        <v>272</v>
      </c>
      <c r="F168" s="50" t="n">
        <v>21.4802</v>
      </c>
      <c r="G168" s="51" t="n">
        <v>0</v>
      </c>
      <c r="H168" s="50">
        <f>ROUND(F168*AO168,2)</f>
      </c>
      <c r="I168" s="50">
        <f>ROUND(F168*AP168,2)</f>
      </c>
      <c r="J168" s="50">
        <f>ROUND(F168*G168,2)</f>
      </c>
      <c r="K168" s="52" t="s">
        <v>54</v>
      </c>
      <c r="Z168" s="50">
        <f>ROUND(IF(AQ168="5",BJ168,0),2)</f>
      </c>
      <c r="AB168" s="50">
        <f>ROUND(IF(AQ168="1",BH168,0),2)</f>
      </c>
      <c r="AC168" s="50">
        <f>ROUND(IF(AQ168="1",BI168,0),2)</f>
      </c>
      <c r="AD168" s="50">
        <f>ROUND(IF(AQ168="7",BH168,0),2)</f>
      </c>
      <c r="AE168" s="50">
        <f>ROUND(IF(AQ168="7",BI168,0),2)</f>
      </c>
      <c r="AF168" s="50">
        <f>ROUND(IF(AQ168="2",BH168,0),2)</f>
      </c>
      <c r="AG168" s="50">
        <f>ROUND(IF(AQ168="2",BI168,0),2)</f>
      </c>
      <c r="AH168" s="50">
        <f>ROUND(IF(AQ168="0",BJ168,0),2)</f>
      </c>
      <c r="AI168" s="32" t="s">
        <v>47</v>
      </c>
      <c r="AJ168" s="50">
        <f>IF(AN168=0,J168,0)</f>
      </c>
      <c r="AK168" s="50">
        <f>IF(AN168=12,J168,0)</f>
      </c>
      <c r="AL168" s="50">
        <f>IF(AN168=21,J168,0)</f>
      </c>
      <c r="AN168" s="50" t="n">
        <v>21</v>
      </c>
      <c r="AO168" s="50">
        <f>G168*0</f>
      </c>
      <c r="AP168" s="50">
        <f>G168*(1-0)</f>
      </c>
      <c r="AQ168" s="53" t="s">
        <v>74</v>
      </c>
      <c r="AV168" s="50">
        <f>ROUND(AW168+AX168,2)</f>
      </c>
      <c r="AW168" s="50">
        <f>ROUND(F168*AO168,2)</f>
      </c>
      <c r="AX168" s="50">
        <f>ROUND(F168*AP168,2)</f>
      </c>
      <c r="AY168" s="53" t="s">
        <v>467</v>
      </c>
      <c r="AZ168" s="53" t="s">
        <v>405</v>
      </c>
      <c r="BA168" s="32" t="s">
        <v>57</v>
      </c>
      <c r="BC168" s="50">
        <f>AW168+AX168</f>
      </c>
      <c r="BD168" s="50">
        <f>G168/(100-BE168)*100</f>
      </c>
      <c r="BE168" s="50" t="n">
        <v>0</v>
      </c>
      <c r="BF168" s="50">
        <f>168</f>
      </c>
      <c r="BH168" s="50">
        <f>F168*AO168</f>
      </c>
      <c r="BI168" s="50">
        <f>F168*AP168</f>
      </c>
      <c r="BJ168" s="50">
        <f>F168*G168</f>
      </c>
      <c r="BK168" s="53" t="s">
        <v>58</v>
      </c>
      <c r="BL168" s="50"/>
      <c r="BW168" s="50" t="n">
        <v>21</v>
      </c>
      <c r="BX168" s="16" t="s">
        <v>479</v>
      </c>
    </row>
    <row r="169">
      <c r="A169" s="10" t="s">
        <v>480</v>
      </c>
      <c r="B169" s="11" t="s">
        <v>481</v>
      </c>
      <c r="C169" s="16" t="s">
        <v>482</v>
      </c>
      <c r="D169" s="11"/>
      <c r="E169" s="11" t="s">
        <v>272</v>
      </c>
      <c r="F169" s="50" t="n">
        <v>0.0735</v>
      </c>
      <c r="G169" s="51" t="n">
        <v>0</v>
      </c>
      <c r="H169" s="50">
        <f>ROUND(F169*AO169,2)</f>
      </c>
      <c r="I169" s="50">
        <f>ROUND(F169*AP169,2)</f>
      </c>
      <c r="J169" s="50">
        <f>ROUND(F169*G169,2)</f>
      </c>
      <c r="K169" s="52" t="s">
        <v>54</v>
      </c>
      <c r="Z169" s="50">
        <f>ROUND(IF(AQ169="5",BJ169,0),2)</f>
      </c>
      <c r="AB169" s="50">
        <f>ROUND(IF(AQ169="1",BH169,0),2)</f>
      </c>
      <c r="AC169" s="50">
        <f>ROUND(IF(AQ169="1",BI169,0),2)</f>
      </c>
      <c r="AD169" s="50">
        <f>ROUND(IF(AQ169="7",BH169,0),2)</f>
      </c>
      <c r="AE169" s="50">
        <f>ROUND(IF(AQ169="7",BI169,0),2)</f>
      </c>
      <c r="AF169" s="50">
        <f>ROUND(IF(AQ169="2",BH169,0),2)</f>
      </c>
      <c r="AG169" s="50">
        <f>ROUND(IF(AQ169="2",BI169,0),2)</f>
      </c>
      <c r="AH169" s="50">
        <f>ROUND(IF(AQ169="0",BJ169,0),2)</f>
      </c>
      <c r="AI169" s="32" t="s">
        <v>47</v>
      </c>
      <c r="AJ169" s="50">
        <f>IF(AN169=0,J169,0)</f>
      </c>
      <c r="AK169" s="50">
        <f>IF(AN169=12,J169,0)</f>
      </c>
      <c r="AL169" s="50">
        <f>IF(AN169=21,J169,0)</f>
      </c>
      <c r="AN169" s="50" t="n">
        <v>21</v>
      </c>
      <c r="AO169" s="50">
        <f>G169*0</f>
      </c>
      <c r="AP169" s="50">
        <f>G169*(1-0)</f>
      </c>
      <c r="AQ169" s="53" t="s">
        <v>74</v>
      </c>
      <c r="AV169" s="50">
        <f>ROUND(AW169+AX169,2)</f>
      </c>
      <c r="AW169" s="50">
        <f>ROUND(F169*AO169,2)</f>
      </c>
      <c r="AX169" s="50">
        <f>ROUND(F169*AP169,2)</f>
      </c>
      <c r="AY169" s="53" t="s">
        <v>467</v>
      </c>
      <c r="AZ169" s="53" t="s">
        <v>405</v>
      </c>
      <c r="BA169" s="32" t="s">
        <v>57</v>
      </c>
      <c r="BC169" s="50">
        <f>AW169+AX169</f>
      </c>
      <c r="BD169" s="50">
        <f>G169/(100-BE169)*100</f>
      </c>
      <c r="BE169" s="50" t="n">
        <v>0</v>
      </c>
      <c r="BF169" s="50">
        <f>169</f>
      </c>
      <c r="BH169" s="50">
        <f>F169*AO169</f>
      </c>
      <c r="BI169" s="50">
        <f>F169*AP169</f>
      </c>
      <c r="BJ169" s="50">
        <f>F169*G169</f>
      </c>
      <c r="BK169" s="53" t="s">
        <v>58</v>
      </c>
      <c r="BL169" s="50"/>
      <c r="BW169" s="50" t="n">
        <v>21</v>
      </c>
      <c r="BX169" s="16" t="s">
        <v>482</v>
      </c>
    </row>
    <row r="170">
      <c r="A170" s="65" t="s">
        <v>483</v>
      </c>
      <c r="B170" s="66" t="s">
        <v>484</v>
      </c>
      <c r="C170" s="67" t="s">
        <v>485</v>
      </c>
      <c r="D170" s="66"/>
      <c r="E170" s="66" t="s">
        <v>272</v>
      </c>
      <c r="F170" s="68" t="n">
        <v>0.5406</v>
      </c>
      <c r="G170" s="69" t="n">
        <v>0</v>
      </c>
      <c r="H170" s="68">
        <f>ROUND(F170*AO170,2)</f>
      </c>
      <c r="I170" s="68">
        <f>ROUND(F170*AP170,2)</f>
      </c>
      <c r="J170" s="68">
        <f>ROUND(F170*G170,2)</f>
      </c>
      <c r="K170" s="70" t="s">
        <v>54</v>
      </c>
      <c r="Z170" s="50">
        <f>ROUND(IF(AQ170="5",BJ170,0),2)</f>
      </c>
      <c r="AB170" s="50">
        <f>ROUND(IF(AQ170="1",BH170,0),2)</f>
      </c>
      <c r="AC170" s="50">
        <f>ROUND(IF(AQ170="1",BI170,0),2)</f>
      </c>
      <c r="AD170" s="50">
        <f>ROUND(IF(AQ170="7",BH170,0),2)</f>
      </c>
      <c r="AE170" s="50">
        <f>ROUND(IF(AQ170="7",BI170,0),2)</f>
      </c>
      <c r="AF170" s="50">
        <f>ROUND(IF(AQ170="2",BH170,0),2)</f>
      </c>
      <c r="AG170" s="50">
        <f>ROUND(IF(AQ170="2",BI170,0),2)</f>
      </c>
      <c r="AH170" s="50">
        <f>ROUND(IF(AQ170="0",BJ170,0),2)</f>
      </c>
      <c r="AI170" s="32" t="s">
        <v>47</v>
      </c>
      <c r="AJ170" s="50">
        <f>IF(AN170=0,J170,0)</f>
      </c>
      <c r="AK170" s="50">
        <f>IF(AN170=12,J170,0)</f>
      </c>
      <c r="AL170" s="50">
        <f>IF(AN170=21,J170,0)</f>
      </c>
      <c r="AN170" s="50" t="n">
        <v>21</v>
      </c>
      <c r="AO170" s="50">
        <f>G170*0</f>
      </c>
      <c r="AP170" s="50">
        <f>G170*(1-0)</f>
      </c>
      <c r="AQ170" s="53" t="s">
        <v>74</v>
      </c>
      <c r="AV170" s="50">
        <f>ROUND(AW170+AX170,2)</f>
      </c>
      <c r="AW170" s="50">
        <f>ROUND(F170*AO170,2)</f>
      </c>
      <c r="AX170" s="50">
        <f>ROUND(F170*AP170,2)</f>
      </c>
      <c r="AY170" s="53" t="s">
        <v>467</v>
      </c>
      <c r="AZ170" s="53" t="s">
        <v>405</v>
      </c>
      <c r="BA170" s="32" t="s">
        <v>57</v>
      </c>
      <c r="BC170" s="50">
        <f>AW170+AX170</f>
      </c>
      <c r="BD170" s="50">
        <f>G170/(100-BE170)*100</f>
      </c>
      <c r="BE170" s="50" t="n">
        <v>0</v>
      </c>
      <c r="BF170" s="50">
        <f>170</f>
      </c>
      <c r="BH170" s="50">
        <f>F170*AO170</f>
      </c>
      <c r="BI170" s="50">
        <f>F170*AP170</f>
      </c>
      <c r="BJ170" s="50">
        <f>F170*G170</f>
      </c>
      <c r="BK170" s="53" t="s">
        <v>58</v>
      </c>
      <c r="BL170" s="50"/>
      <c r="BW170" s="50" t="n">
        <v>21</v>
      </c>
      <c r="BX170" s="16" t="s">
        <v>485</v>
      </c>
    </row>
    <row r="171">
      <c r="H171" s="71" t="s">
        <v>486</v>
      </c>
      <c r="I171" s="71"/>
      <c r="J171" s="72">
        <f>ROUND(J12+J15+J20+J40+J42+J45+J49+J52+J67+J70+J78+J91+J105+J118+J127+J129+J134+J139+J142+J144+J146+J158+J161+J163,2)</f>
      </c>
    </row>
    <row r="172">
      <c r="A172" s="73" t="s">
        <v>487</v>
      </c>
    </row>
    <row r="173" customHeight="true" ht="12.75">
      <c r="A173" s="16" t="s">
        <v>47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E6A4"/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4:K14"/>
    <mergeCell ref="C15:D15"/>
    <mergeCell ref="C16:D16"/>
    <mergeCell ref="C17:D17"/>
    <mergeCell ref="C18:D18"/>
    <mergeCell ref="C19:D19"/>
    <mergeCell ref="C20:D20"/>
    <mergeCell ref="C21:D21"/>
    <mergeCell ref="C22:D22"/>
    <mergeCell ref="C23:K23"/>
    <mergeCell ref="C24:D24"/>
    <mergeCell ref="C25:K25"/>
    <mergeCell ref="C26:D26"/>
    <mergeCell ref="C27:K27"/>
    <mergeCell ref="C28:D28"/>
    <mergeCell ref="C29:D29"/>
    <mergeCell ref="C30:K30"/>
    <mergeCell ref="C31:D31"/>
    <mergeCell ref="C32:K32"/>
    <mergeCell ref="C33:D33"/>
    <mergeCell ref="C34:K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K44"/>
    <mergeCell ref="C45:D45"/>
    <mergeCell ref="C46:D46"/>
    <mergeCell ref="C47:D47"/>
    <mergeCell ref="C48:K48"/>
    <mergeCell ref="C49:D49"/>
    <mergeCell ref="C50:D50"/>
    <mergeCell ref="C51:K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K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K97"/>
    <mergeCell ref="C98:D98"/>
    <mergeCell ref="C99:K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K110"/>
    <mergeCell ref="C111:D111"/>
    <mergeCell ref="C112:D112"/>
    <mergeCell ref="C113:K113"/>
    <mergeCell ref="C114:D114"/>
    <mergeCell ref="C115:K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K133"/>
    <mergeCell ref="C134:D134"/>
    <mergeCell ref="C135:D135"/>
    <mergeCell ref="C136:K136"/>
    <mergeCell ref="C137:D137"/>
    <mergeCell ref="C138:K138"/>
    <mergeCell ref="C139:D139"/>
    <mergeCell ref="C140:D140"/>
    <mergeCell ref="C141:K141"/>
    <mergeCell ref="C142:D142"/>
    <mergeCell ref="C143:D143"/>
    <mergeCell ref="C144:D144"/>
    <mergeCell ref="C145:D145"/>
    <mergeCell ref="C146:D146"/>
    <mergeCell ref="C147:D147"/>
    <mergeCell ref="C148:D148"/>
    <mergeCell ref="C149:K149"/>
    <mergeCell ref="C150:D150"/>
    <mergeCell ref="C151:D151"/>
    <mergeCell ref="C152:D152"/>
    <mergeCell ref="C153:D153"/>
    <mergeCell ref="C154:D154"/>
    <mergeCell ref="C155:D155"/>
    <mergeCell ref="C156:D156"/>
    <mergeCell ref="C157:K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H171:I171"/>
    <mergeCell ref="A173:K173"/>
  </mergeCells>
  <pageMargins left="0.393999993801117" top="0.591000020503998" right="0.393999993801117" bottom="0.591000020503998" header="0" footer="0"/>
  <pageSetup orientation="portrait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H299"/>
  <sheetViews>
    <sheetView workbookViewId="0" showZeros="true" showFormulas="false" showGridLines="true" showRowColHeaders="true">
      <selection sqref="A299:G299" activeCell="A299"/>
    </sheetView>
  </sheetViews>
  <sheetFormatPr defaultColWidth="12.140625" customHeight="true" defaultRowHeight="15"/>
  <cols>
    <col max="2" min="1" style="0" width="9.140625" customWidth="true"/>
    <col max="3" min="3" style="0" width="14.28515625" customWidth="true"/>
    <col max="4" min="4" style="0" width="92.28515625" customWidth="true"/>
    <col max="5" min="5" style="0" width="54.85546875" customWidth="true"/>
    <col max="6" min="6" style="0" width="24.140625" customWidth="true"/>
    <col max="7" min="7" style="0" width="15.7109375" customWidth="true"/>
    <col max="8" min="8" style="0" width="19.99609375" customWidth="true"/>
  </cols>
  <sheetData>
    <row r="1" customHeight="true" ht="54.75">
      <c r="A1" s="1" t="s">
        <v>488</v>
      </c>
      <c r="B1" s="1"/>
      <c r="C1" s="1"/>
      <c r="D1" s="1"/>
      <c r="E1" s="1"/>
      <c r="F1" s="1"/>
      <c r="G1" s="1"/>
      <c r="H1" s="1"/>
    </row>
    <row r="2">
      <c r="A2" s="3" t="s">
        <v>1</v>
      </c>
      <c r="B2" s="4"/>
      <c r="C2" s="5">
        <f>'Stavební rozpočet'!C2</f>
      </c>
      <c r="D2" s="6"/>
      <c r="E2" s="8" t="s">
        <v>5</v>
      </c>
      <c r="F2" s="8">
        <f>'Stavební rozpočet'!I2</f>
      </c>
      <c r="G2" s="4"/>
      <c r="H2" s="9"/>
    </row>
    <row r="3" customHeight="true" ht="15">
      <c r="A3" s="10"/>
      <c r="B3" s="11"/>
      <c r="C3" s="12"/>
      <c r="D3" s="12"/>
      <c r="E3" s="11"/>
      <c r="F3" s="11"/>
      <c r="G3" s="11"/>
      <c r="H3" s="14"/>
    </row>
    <row r="4">
      <c r="A4" s="15" t="s">
        <v>7</v>
      </c>
      <c r="B4" s="11"/>
      <c r="C4" s="16">
        <f>'Stavební rozpočet'!C4</f>
      </c>
      <c r="D4" s="11"/>
      <c r="E4" s="16" t="s">
        <v>10</v>
      </c>
      <c r="F4" s="16">
        <f>'Stavební rozpočet'!I4</f>
      </c>
      <c r="G4" s="11"/>
      <c r="H4" s="14"/>
    </row>
    <row r="5" customHeight="true" ht="15">
      <c r="A5" s="10"/>
      <c r="B5" s="11"/>
      <c r="C5" s="11"/>
      <c r="D5" s="11"/>
      <c r="E5" s="11"/>
      <c r="F5" s="11"/>
      <c r="G5" s="11"/>
      <c r="H5" s="14"/>
    </row>
    <row r="6">
      <c r="A6" s="15" t="s">
        <v>12</v>
      </c>
      <c r="B6" s="11"/>
      <c r="C6" s="16">
        <f>'Stavební rozpočet'!C6</f>
      </c>
      <c r="D6" s="11"/>
      <c r="E6" s="16" t="s">
        <v>14</v>
      </c>
      <c r="F6" s="16">
        <f>'Stavební rozpočet'!I6</f>
      </c>
      <c r="G6" s="11"/>
      <c r="H6" s="14"/>
    </row>
    <row r="7" customHeight="true" ht="15">
      <c r="A7" s="10"/>
      <c r="B7" s="11"/>
      <c r="C7" s="11"/>
      <c r="D7" s="11"/>
      <c r="E7" s="11"/>
      <c r="F7" s="11"/>
      <c r="G7" s="11"/>
      <c r="H7" s="14"/>
    </row>
    <row r="8">
      <c r="A8" s="15" t="s">
        <v>17</v>
      </c>
      <c r="B8" s="11"/>
      <c r="C8" s="16">
        <f>'Stavební rozpočet'!I8</f>
      </c>
      <c r="D8" s="11"/>
      <c r="E8" s="16" t="s">
        <v>16</v>
      </c>
      <c r="F8" s="16">
        <f>'Stavební rozpočet'!G8</f>
      </c>
      <c r="G8" s="11"/>
      <c r="H8" s="14"/>
    </row>
    <row r="9">
      <c r="A9" s="18"/>
      <c r="B9" s="19"/>
      <c r="C9" s="19"/>
      <c r="D9" s="19"/>
      <c r="E9" s="19"/>
      <c r="F9" s="19"/>
      <c r="G9" s="19"/>
      <c r="H9" s="74"/>
    </row>
    <row r="10">
      <c r="A10" s="75" t="s">
        <v>18</v>
      </c>
      <c r="B10" s="76" t="s">
        <v>489</v>
      </c>
      <c r="C10" s="76" t="s">
        <v>19</v>
      </c>
      <c r="D10" s="77" t="s">
        <v>490</v>
      </c>
      <c r="E10" s="78"/>
      <c r="F10" s="76" t="s">
        <v>21</v>
      </c>
      <c r="G10" s="79" t="s">
        <v>22</v>
      </c>
      <c r="H10" s="80" t="s">
        <v>491</v>
      </c>
    </row>
    <row r="11">
      <c r="A11" s="81" t="s">
        <v>47</v>
      </c>
      <c r="B11" s="44" t="s">
        <v>47</v>
      </c>
      <c r="C11" s="44" t="s">
        <v>48</v>
      </c>
      <c r="D11" s="44" t="s">
        <v>49</v>
      </c>
      <c r="E11" s="44"/>
      <c r="F11" s="44" t="s">
        <v>47</v>
      </c>
      <c r="G11" s="82" t="s">
        <v>47</v>
      </c>
      <c r="H11" s="49" t="s">
        <v>47</v>
      </c>
    </row>
    <row r="12">
      <c r="A12" s="10" t="s">
        <v>50</v>
      </c>
      <c r="B12" s="11" t="s">
        <v>47</v>
      </c>
      <c r="C12" s="11" t="s">
        <v>51</v>
      </c>
      <c r="D12" s="11" t="s">
        <v>52</v>
      </c>
      <c r="E12" s="11"/>
      <c r="F12" s="11" t="s">
        <v>53</v>
      </c>
      <c r="G12" s="50" t="n">
        <v>3</v>
      </c>
      <c r="H12" s="83" t="n">
        <v>0</v>
      </c>
    </row>
    <row r="13">
      <c r="A13" s="84" t="s">
        <v>47</v>
      </c>
      <c r="B13" s="60" t="s">
        <v>47</v>
      </c>
      <c r="C13" s="60" t="s">
        <v>60</v>
      </c>
      <c r="D13" s="60" t="s">
        <v>61</v>
      </c>
      <c r="E13" s="60"/>
      <c r="F13" s="60" t="s">
        <v>47</v>
      </c>
      <c r="G13" s="32" t="s">
        <v>47</v>
      </c>
      <c r="H13" s="64" t="s">
        <v>47</v>
      </c>
    </row>
    <row r="14">
      <c r="A14" s="10" t="s">
        <v>62</v>
      </c>
      <c r="B14" s="11" t="s">
        <v>47</v>
      </c>
      <c r="C14" s="11" t="s">
        <v>63</v>
      </c>
      <c r="D14" s="11" t="s">
        <v>64</v>
      </c>
      <c r="E14" s="11"/>
      <c r="F14" s="11" t="s">
        <v>65</v>
      </c>
      <c r="G14" s="50" t="n">
        <v>3.20012</v>
      </c>
      <c r="H14" s="83" t="n">
        <v>0</v>
      </c>
    </row>
    <row r="15">
      <c r="A15" s="54"/>
      <c r="D15" s="85" t="s">
        <v>492</v>
      </c>
      <c r="E15" s="85" t="s">
        <v>493</v>
      </c>
      <c r="F15" s="85"/>
      <c r="G15" s="86" t="n">
        <v>2.10012</v>
      </c>
      <c r="H15" s="87"/>
    </row>
    <row r="16">
      <c r="A16" s="10" t="s">
        <v>47</v>
      </c>
      <c r="B16" s="11" t="s">
        <v>47</v>
      </c>
      <c r="C16" s="11" t="s">
        <v>47</v>
      </c>
      <c r="D16" s="85" t="s">
        <v>494</v>
      </c>
      <c r="E16" s="85" t="s">
        <v>47</v>
      </c>
      <c r="F16" s="85"/>
      <c r="G16" s="86" t="n">
        <v>1.1</v>
      </c>
      <c r="H16" s="52" t="s">
        <v>47</v>
      </c>
    </row>
    <row r="17">
      <c r="A17" s="10" t="s">
        <v>67</v>
      </c>
      <c r="B17" s="11" t="s">
        <v>47</v>
      </c>
      <c r="C17" s="11" t="s">
        <v>68</v>
      </c>
      <c r="D17" s="11" t="s">
        <v>69</v>
      </c>
      <c r="E17" s="11"/>
      <c r="F17" s="11" t="s">
        <v>53</v>
      </c>
      <c r="G17" s="50" t="n">
        <v>1</v>
      </c>
      <c r="H17" s="83" t="n">
        <v>0</v>
      </c>
    </row>
    <row r="18">
      <c r="A18" s="10" t="s">
        <v>70</v>
      </c>
      <c r="B18" s="11" t="s">
        <v>47</v>
      </c>
      <c r="C18" s="11" t="s">
        <v>71</v>
      </c>
      <c r="D18" s="11" t="s">
        <v>72</v>
      </c>
      <c r="E18" s="11"/>
      <c r="F18" s="11" t="s">
        <v>53</v>
      </c>
      <c r="G18" s="50" t="n">
        <v>1</v>
      </c>
      <c r="H18" s="83" t="n">
        <v>0</v>
      </c>
    </row>
    <row r="19">
      <c r="A19" s="10" t="s">
        <v>74</v>
      </c>
      <c r="B19" s="11" t="s">
        <v>47</v>
      </c>
      <c r="C19" s="11" t="s">
        <v>75</v>
      </c>
      <c r="D19" s="11" t="s">
        <v>76</v>
      </c>
      <c r="E19" s="11"/>
      <c r="F19" s="11" t="s">
        <v>65</v>
      </c>
      <c r="G19" s="50" t="n">
        <v>6.55375</v>
      </c>
      <c r="H19" s="83" t="n">
        <v>0</v>
      </c>
    </row>
    <row r="20">
      <c r="A20" s="54"/>
      <c r="D20" s="85" t="s">
        <v>495</v>
      </c>
      <c r="E20" s="85" t="s">
        <v>47</v>
      </c>
      <c r="F20" s="85"/>
      <c r="G20" s="86" t="n">
        <v>3.3</v>
      </c>
      <c r="H20" s="87"/>
    </row>
    <row r="21">
      <c r="A21" s="10" t="s">
        <v>47</v>
      </c>
      <c r="B21" s="11" t="s">
        <v>47</v>
      </c>
      <c r="C21" s="11" t="s">
        <v>47</v>
      </c>
      <c r="D21" s="85" t="s">
        <v>496</v>
      </c>
      <c r="E21" s="85" t="s">
        <v>47</v>
      </c>
      <c r="F21" s="85"/>
      <c r="G21" s="86" t="n">
        <v>2.16625</v>
      </c>
      <c r="H21" s="52" t="s">
        <v>47</v>
      </c>
    </row>
    <row r="22">
      <c r="A22" s="10" t="s">
        <v>47</v>
      </c>
      <c r="B22" s="11" t="s">
        <v>47</v>
      </c>
      <c r="C22" s="11" t="s">
        <v>47</v>
      </c>
      <c r="D22" s="85" t="s">
        <v>497</v>
      </c>
      <c r="E22" s="85" t="s">
        <v>47</v>
      </c>
      <c r="F22" s="85"/>
      <c r="G22" s="86" t="n">
        <v>1.0875</v>
      </c>
      <c r="H22" s="52" t="s">
        <v>47</v>
      </c>
    </row>
    <row r="23">
      <c r="A23" s="84" t="s">
        <v>47</v>
      </c>
      <c r="B23" s="60" t="s">
        <v>47</v>
      </c>
      <c r="C23" s="60" t="s">
        <v>77</v>
      </c>
      <c r="D23" s="60" t="s">
        <v>78</v>
      </c>
      <c r="E23" s="60"/>
      <c r="F23" s="60" t="s">
        <v>47</v>
      </c>
      <c r="G23" s="32" t="s">
        <v>47</v>
      </c>
      <c r="H23" s="64" t="s">
        <v>47</v>
      </c>
    </row>
    <row r="24">
      <c r="A24" s="10" t="s">
        <v>79</v>
      </c>
      <c r="B24" s="11" t="s">
        <v>47</v>
      </c>
      <c r="C24" s="11" t="s">
        <v>80</v>
      </c>
      <c r="D24" s="11" t="s">
        <v>81</v>
      </c>
      <c r="E24" s="11"/>
      <c r="F24" s="11" t="s">
        <v>65</v>
      </c>
      <c r="G24" s="50" t="n">
        <v>93.86043</v>
      </c>
      <c r="H24" s="83" t="n">
        <v>0</v>
      </c>
    </row>
    <row r="25">
      <c r="A25" s="54"/>
      <c r="D25" s="85" t="s">
        <v>498</v>
      </c>
      <c r="E25" s="85" t="s">
        <v>47</v>
      </c>
      <c r="F25" s="85"/>
      <c r="G25" s="86" t="n">
        <v>93.86043</v>
      </c>
      <c r="H25" s="87"/>
    </row>
    <row r="26">
      <c r="A26" s="10" t="s">
        <v>84</v>
      </c>
      <c r="B26" s="11" t="s">
        <v>47</v>
      </c>
      <c r="C26" s="11" t="s">
        <v>85</v>
      </c>
      <c r="D26" s="11" t="s">
        <v>86</v>
      </c>
      <c r="E26" s="11"/>
      <c r="F26" s="11" t="s">
        <v>65</v>
      </c>
      <c r="G26" s="50" t="n">
        <v>7.4</v>
      </c>
      <c r="H26" s="83" t="n">
        <v>0</v>
      </c>
    </row>
    <row r="27">
      <c r="A27" s="54"/>
      <c r="D27" s="85" t="s">
        <v>499</v>
      </c>
      <c r="E27" s="85" t="s">
        <v>493</v>
      </c>
      <c r="F27" s="85"/>
      <c r="G27" s="86" t="n">
        <v>1</v>
      </c>
      <c r="H27" s="87"/>
    </row>
    <row r="28">
      <c r="A28" s="10" t="s">
        <v>47</v>
      </c>
      <c r="B28" s="11" t="s">
        <v>47</v>
      </c>
      <c r="C28" s="11" t="s">
        <v>47</v>
      </c>
      <c r="D28" s="85" t="s">
        <v>500</v>
      </c>
      <c r="E28" s="85" t="s">
        <v>47</v>
      </c>
      <c r="F28" s="85"/>
      <c r="G28" s="86" t="n">
        <v>0.6</v>
      </c>
      <c r="H28" s="52" t="s">
        <v>47</v>
      </c>
    </row>
    <row r="29">
      <c r="A29" s="10" t="s">
        <v>47</v>
      </c>
      <c r="B29" s="11" t="s">
        <v>47</v>
      </c>
      <c r="C29" s="11" t="s">
        <v>47</v>
      </c>
      <c r="D29" s="85" t="s">
        <v>501</v>
      </c>
      <c r="E29" s="85" t="s">
        <v>47</v>
      </c>
      <c r="F29" s="85"/>
      <c r="G29" s="86" t="n">
        <v>0.8</v>
      </c>
      <c r="H29" s="52" t="s">
        <v>47</v>
      </c>
    </row>
    <row r="30">
      <c r="A30" s="10" t="s">
        <v>47</v>
      </c>
      <c r="B30" s="11" t="s">
        <v>47</v>
      </c>
      <c r="C30" s="11" t="s">
        <v>47</v>
      </c>
      <c r="D30" s="85" t="s">
        <v>502</v>
      </c>
      <c r="E30" s="85" t="s">
        <v>503</v>
      </c>
      <c r="F30" s="85"/>
      <c r="G30" s="86" t="n">
        <v>5</v>
      </c>
      <c r="H30" s="52" t="s">
        <v>47</v>
      </c>
    </row>
    <row r="31">
      <c r="A31" s="10" t="s">
        <v>88</v>
      </c>
      <c r="B31" s="11" t="s">
        <v>47</v>
      </c>
      <c r="C31" s="11" t="s">
        <v>89</v>
      </c>
      <c r="D31" s="11" t="s">
        <v>90</v>
      </c>
      <c r="E31" s="11"/>
      <c r="F31" s="11" t="s">
        <v>65</v>
      </c>
      <c r="G31" s="50" t="n">
        <v>3.6</v>
      </c>
      <c r="H31" s="83" t="n">
        <v>0</v>
      </c>
    </row>
    <row r="32">
      <c r="A32" s="54"/>
      <c r="D32" s="85" t="s">
        <v>504</v>
      </c>
      <c r="E32" s="85" t="s">
        <v>493</v>
      </c>
      <c r="F32" s="85"/>
      <c r="G32" s="86" t="n">
        <v>0.9</v>
      </c>
      <c r="H32" s="87"/>
    </row>
    <row r="33">
      <c r="A33" s="10" t="s">
        <v>47</v>
      </c>
      <c r="B33" s="11" t="s">
        <v>47</v>
      </c>
      <c r="C33" s="11" t="s">
        <v>47</v>
      </c>
      <c r="D33" s="85" t="s">
        <v>505</v>
      </c>
      <c r="E33" s="85" t="s">
        <v>47</v>
      </c>
      <c r="F33" s="85"/>
      <c r="G33" s="86" t="n">
        <v>1.2</v>
      </c>
      <c r="H33" s="52" t="s">
        <v>47</v>
      </c>
    </row>
    <row r="34">
      <c r="A34" s="10" t="s">
        <v>47</v>
      </c>
      <c r="B34" s="11" t="s">
        <v>47</v>
      </c>
      <c r="C34" s="11" t="s">
        <v>47</v>
      </c>
      <c r="D34" s="85" t="s">
        <v>506</v>
      </c>
      <c r="E34" s="85" t="s">
        <v>47</v>
      </c>
      <c r="F34" s="85"/>
      <c r="G34" s="86" t="n">
        <v>1.5</v>
      </c>
      <c r="H34" s="52" t="s">
        <v>47</v>
      </c>
    </row>
    <row r="35">
      <c r="A35" s="10" t="s">
        <v>92</v>
      </c>
      <c r="B35" s="11" t="s">
        <v>47</v>
      </c>
      <c r="C35" s="11" t="s">
        <v>93</v>
      </c>
      <c r="D35" s="11" t="s">
        <v>94</v>
      </c>
      <c r="E35" s="11"/>
      <c r="F35" s="11" t="s">
        <v>95</v>
      </c>
      <c r="G35" s="50" t="n">
        <v>62.48</v>
      </c>
      <c r="H35" s="83" t="n">
        <v>0</v>
      </c>
    </row>
    <row r="36">
      <c r="A36" s="54"/>
      <c r="D36" s="85" t="s">
        <v>507</v>
      </c>
      <c r="E36" s="85" t="s">
        <v>47</v>
      </c>
      <c r="F36" s="85"/>
      <c r="G36" s="86" t="n">
        <v>11.36</v>
      </c>
      <c r="H36" s="87"/>
    </row>
    <row r="37">
      <c r="A37" s="10" t="s">
        <v>47</v>
      </c>
      <c r="B37" s="11" t="s">
        <v>47</v>
      </c>
      <c r="C37" s="11" t="s">
        <v>47</v>
      </c>
      <c r="D37" s="85" t="s">
        <v>508</v>
      </c>
      <c r="E37" s="85" t="s">
        <v>47</v>
      </c>
      <c r="F37" s="85"/>
      <c r="G37" s="86" t="n">
        <v>2.36</v>
      </c>
      <c r="H37" s="52" t="s">
        <v>47</v>
      </c>
    </row>
    <row r="38">
      <c r="A38" s="10" t="s">
        <v>47</v>
      </c>
      <c r="B38" s="11" t="s">
        <v>47</v>
      </c>
      <c r="C38" s="11" t="s">
        <v>47</v>
      </c>
      <c r="D38" s="85" t="s">
        <v>509</v>
      </c>
      <c r="E38" s="85" t="s">
        <v>47</v>
      </c>
      <c r="F38" s="85"/>
      <c r="G38" s="86" t="n">
        <v>2.36</v>
      </c>
      <c r="H38" s="52" t="s">
        <v>47</v>
      </c>
    </row>
    <row r="39">
      <c r="A39" s="10" t="s">
        <v>47</v>
      </c>
      <c r="B39" s="11" t="s">
        <v>47</v>
      </c>
      <c r="C39" s="11" t="s">
        <v>47</v>
      </c>
      <c r="D39" s="85" t="s">
        <v>510</v>
      </c>
      <c r="E39" s="85" t="s">
        <v>47</v>
      </c>
      <c r="F39" s="85"/>
      <c r="G39" s="86" t="n">
        <v>28.8</v>
      </c>
      <c r="H39" s="52" t="s">
        <v>47</v>
      </c>
    </row>
    <row r="40">
      <c r="A40" s="10" t="s">
        <v>47</v>
      </c>
      <c r="B40" s="11" t="s">
        <v>47</v>
      </c>
      <c r="C40" s="11" t="s">
        <v>47</v>
      </c>
      <c r="D40" s="85" t="s">
        <v>511</v>
      </c>
      <c r="E40" s="85" t="s">
        <v>47</v>
      </c>
      <c r="F40" s="85"/>
      <c r="G40" s="86" t="n">
        <v>7.6</v>
      </c>
      <c r="H40" s="52" t="s">
        <v>47</v>
      </c>
    </row>
    <row r="41">
      <c r="A41" s="10" t="s">
        <v>47</v>
      </c>
      <c r="B41" s="11" t="s">
        <v>47</v>
      </c>
      <c r="C41" s="11" t="s">
        <v>47</v>
      </c>
      <c r="D41" s="85" t="s">
        <v>512</v>
      </c>
      <c r="E41" s="85" t="s">
        <v>47</v>
      </c>
      <c r="F41" s="85"/>
      <c r="G41" s="86" t="n">
        <v>10</v>
      </c>
      <c r="H41" s="52" t="s">
        <v>47</v>
      </c>
    </row>
    <row r="42">
      <c r="A42" s="10" t="s">
        <v>96</v>
      </c>
      <c r="B42" s="11" t="s">
        <v>47</v>
      </c>
      <c r="C42" s="11" t="s">
        <v>97</v>
      </c>
      <c r="D42" s="11" t="s">
        <v>98</v>
      </c>
      <c r="E42" s="11"/>
      <c r="F42" s="11" t="s">
        <v>65</v>
      </c>
      <c r="G42" s="50" t="n">
        <v>47.53043</v>
      </c>
      <c r="H42" s="83" t="n">
        <v>0</v>
      </c>
    </row>
    <row r="43">
      <c r="A43" s="54"/>
      <c r="D43" s="85" t="s">
        <v>513</v>
      </c>
      <c r="E43" s="85" t="s">
        <v>47</v>
      </c>
      <c r="F43" s="85"/>
      <c r="G43" s="86" t="n">
        <v>37.83251</v>
      </c>
      <c r="H43" s="87"/>
    </row>
    <row r="44">
      <c r="A44" s="10" t="s">
        <v>47</v>
      </c>
      <c r="B44" s="11" t="s">
        <v>47</v>
      </c>
      <c r="C44" s="11" t="s">
        <v>47</v>
      </c>
      <c r="D44" s="85" t="s">
        <v>514</v>
      </c>
      <c r="E44" s="85" t="s">
        <v>47</v>
      </c>
      <c r="F44" s="85"/>
      <c r="G44" s="86" t="n">
        <v>-4.2585</v>
      </c>
      <c r="H44" s="52" t="s">
        <v>47</v>
      </c>
    </row>
    <row r="45">
      <c r="A45" s="10" t="s">
        <v>47</v>
      </c>
      <c r="B45" s="11" t="s">
        <v>47</v>
      </c>
      <c r="C45" s="11" t="s">
        <v>47</v>
      </c>
      <c r="D45" s="85" t="s">
        <v>515</v>
      </c>
      <c r="E45" s="85" t="s">
        <v>47</v>
      </c>
      <c r="F45" s="85"/>
      <c r="G45" s="86" t="n">
        <v>-4.8</v>
      </c>
      <c r="H45" s="52" t="s">
        <v>47</v>
      </c>
    </row>
    <row r="46">
      <c r="A46" s="10" t="s">
        <v>47</v>
      </c>
      <c r="B46" s="11" t="s">
        <v>47</v>
      </c>
      <c r="C46" s="11" t="s">
        <v>47</v>
      </c>
      <c r="D46" s="85" t="s">
        <v>516</v>
      </c>
      <c r="E46" s="85" t="s">
        <v>47</v>
      </c>
      <c r="F46" s="85"/>
      <c r="G46" s="86" t="n">
        <v>-2.41155</v>
      </c>
      <c r="H46" s="52" t="s">
        <v>47</v>
      </c>
    </row>
    <row r="47">
      <c r="A47" s="10" t="s">
        <v>47</v>
      </c>
      <c r="B47" s="11" t="s">
        <v>47</v>
      </c>
      <c r="C47" s="11" t="s">
        <v>47</v>
      </c>
      <c r="D47" s="85" t="s">
        <v>517</v>
      </c>
      <c r="E47" s="85" t="s">
        <v>47</v>
      </c>
      <c r="F47" s="85"/>
      <c r="G47" s="86" t="n">
        <v>-1.125</v>
      </c>
      <c r="H47" s="52" t="s">
        <v>47</v>
      </c>
    </row>
    <row r="48">
      <c r="A48" s="10" t="s">
        <v>47</v>
      </c>
      <c r="B48" s="11" t="s">
        <v>47</v>
      </c>
      <c r="C48" s="11" t="s">
        <v>47</v>
      </c>
      <c r="D48" s="85" t="s">
        <v>518</v>
      </c>
      <c r="E48" s="85" t="s">
        <v>47</v>
      </c>
      <c r="F48" s="85"/>
      <c r="G48" s="86" t="n">
        <v>8.35725</v>
      </c>
      <c r="H48" s="52" t="s">
        <v>47</v>
      </c>
    </row>
    <row r="49">
      <c r="A49" s="10" t="s">
        <v>47</v>
      </c>
      <c r="B49" s="11" t="s">
        <v>47</v>
      </c>
      <c r="C49" s="11" t="s">
        <v>47</v>
      </c>
      <c r="D49" s="85" t="s">
        <v>519</v>
      </c>
      <c r="E49" s="85" t="s">
        <v>47</v>
      </c>
      <c r="F49" s="85"/>
      <c r="G49" s="86" t="n">
        <v>8.2269</v>
      </c>
      <c r="H49" s="52" t="s">
        <v>47</v>
      </c>
    </row>
    <row r="50">
      <c r="A50" s="10" t="s">
        <v>47</v>
      </c>
      <c r="B50" s="11" t="s">
        <v>47</v>
      </c>
      <c r="C50" s="11" t="s">
        <v>47</v>
      </c>
      <c r="D50" s="85" t="s">
        <v>520</v>
      </c>
      <c r="E50" s="85" t="s">
        <v>47</v>
      </c>
      <c r="F50" s="85"/>
      <c r="G50" s="86" t="n">
        <v>6.48882</v>
      </c>
      <c r="H50" s="52" t="s">
        <v>47</v>
      </c>
    </row>
    <row r="51">
      <c r="A51" s="10" t="s">
        <v>47</v>
      </c>
      <c r="B51" s="11" t="s">
        <v>47</v>
      </c>
      <c r="C51" s="11" t="s">
        <v>47</v>
      </c>
      <c r="D51" s="85" t="s">
        <v>521</v>
      </c>
      <c r="E51" s="85" t="s">
        <v>47</v>
      </c>
      <c r="F51" s="85"/>
      <c r="G51" s="86" t="n">
        <v>-0.78</v>
      </c>
      <c r="H51" s="52" t="s">
        <v>47</v>
      </c>
    </row>
    <row r="52">
      <c r="A52" s="10" t="s">
        <v>99</v>
      </c>
      <c r="B52" s="11" t="s">
        <v>47</v>
      </c>
      <c r="C52" s="11" t="s">
        <v>100</v>
      </c>
      <c r="D52" s="11" t="s">
        <v>101</v>
      </c>
      <c r="E52" s="11"/>
      <c r="F52" s="11" t="s">
        <v>65</v>
      </c>
      <c r="G52" s="50" t="n">
        <v>47.53043</v>
      </c>
      <c r="H52" s="83" t="n">
        <v>0</v>
      </c>
    </row>
    <row r="53">
      <c r="A53" s="10" t="s">
        <v>103</v>
      </c>
      <c r="B53" s="11" t="s">
        <v>47</v>
      </c>
      <c r="C53" s="11" t="s">
        <v>104</v>
      </c>
      <c r="D53" s="11" t="s">
        <v>105</v>
      </c>
      <c r="E53" s="11"/>
      <c r="F53" s="11" t="s">
        <v>65</v>
      </c>
      <c r="G53" s="50" t="n">
        <v>15</v>
      </c>
      <c r="H53" s="83" t="n">
        <v>0</v>
      </c>
    </row>
    <row r="54">
      <c r="A54" s="54"/>
      <c r="D54" s="85" t="s">
        <v>112</v>
      </c>
      <c r="E54" s="85" t="s">
        <v>522</v>
      </c>
      <c r="F54" s="85"/>
      <c r="G54" s="86" t="n">
        <v>15</v>
      </c>
      <c r="H54" s="87"/>
    </row>
    <row r="55">
      <c r="A55" s="10" t="s">
        <v>106</v>
      </c>
      <c r="B55" s="11" t="s">
        <v>47</v>
      </c>
      <c r="C55" s="11" t="s">
        <v>107</v>
      </c>
      <c r="D55" s="11" t="s">
        <v>108</v>
      </c>
      <c r="E55" s="11"/>
      <c r="F55" s="11" t="s">
        <v>65</v>
      </c>
      <c r="G55" s="50" t="n">
        <v>5</v>
      </c>
      <c r="H55" s="83" t="n">
        <v>0</v>
      </c>
    </row>
    <row r="56">
      <c r="A56" s="54"/>
      <c r="D56" s="85" t="s">
        <v>74</v>
      </c>
      <c r="E56" s="85" t="s">
        <v>523</v>
      </c>
      <c r="F56" s="85"/>
      <c r="G56" s="86" t="n">
        <v>5</v>
      </c>
      <c r="H56" s="87"/>
    </row>
    <row r="57">
      <c r="A57" s="10" t="s">
        <v>109</v>
      </c>
      <c r="B57" s="11" t="s">
        <v>47</v>
      </c>
      <c r="C57" s="11" t="s">
        <v>110</v>
      </c>
      <c r="D57" s="11" t="s">
        <v>111</v>
      </c>
      <c r="E57" s="11"/>
      <c r="F57" s="11" t="s">
        <v>65</v>
      </c>
      <c r="G57" s="50" t="n">
        <v>31.33</v>
      </c>
      <c r="H57" s="83" t="n">
        <v>0</v>
      </c>
    </row>
    <row r="58">
      <c r="A58" s="54"/>
      <c r="D58" s="85" t="s">
        <v>524</v>
      </c>
      <c r="E58" s="85" t="s">
        <v>525</v>
      </c>
      <c r="F58" s="85"/>
      <c r="G58" s="86" t="n">
        <v>24.33</v>
      </c>
      <c r="H58" s="87"/>
    </row>
    <row r="59">
      <c r="A59" s="10" t="s">
        <v>47</v>
      </c>
      <c r="B59" s="11" t="s">
        <v>47</v>
      </c>
      <c r="C59" s="11" t="s">
        <v>47</v>
      </c>
      <c r="D59" s="85" t="s">
        <v>84</v>
      </c>
      <c r="E59" s="85" t="s">
        <v>523</v>
      </c>
      <c r="F59" s="85"/>
      <c r="G59" s="86" t="n">
        <v>7</v>
      </c>
      <c r="H59" s="52" t="s">
        <v>47</v>
      </c>
    </row>
    <row r="60">
      <c r="A60" s="10" t="s">
        <v>112</v>
      </c>
      <c r="B60" s="11" t="s">
        <v>47</v>
      </c>
      <c r="C60" s="11" t="s">
        <v>113</v>
      </c>
      <c r="D60" s="11" t="s">
        <v>114</v>
      </c>
      <c r="E60" s="11"/>
      <c r="F60" s="11" t="s">
        <v>65</v>
      </c>
      <c r="G60" s="50" t="n">
        <v>24.33</v>
      </c>
      <c r="H60" s="83" t="n">
        <v>0</v>
      </c>
    </row>
    <row r="61">
      <c r="A61" s="54"/>
      <c r="D61" s="85" t="s">
        <v>524</v>
      </c>
      <c r="E61" s="85" t="s">
        <v>47</v>
      </c>
      <c r="F61" s="85"/>
      <c r="G61" s="86" t="n">
        <v>24.33</v>
      </c>
      <c r="H61" s="87"/>
    </row>
    <row r="62">
      <c r="A62" s="10" t="s">
        <v>115</v>
      </c>
      <c r="B62" s="11" t="s">
        <v>47</v>
      </c>
      <c r="C62" s="11" t="s">
        <v>116</v>
      </c>
      <c r="D62" s="11" t="s">
        <v>117</v>
      </c>
      <c r="E62" s="11"/>
      <c r="F62" s="11" t="s">
        <v>95</v>
      </c>
      <c r="G62" s="50" t="n">
        <v>28.96</v>
      </c>
      <c r="H62" s="83" t="n">
        <v>0</v>
      </c>
    </row>
    <row r="63">
      <c r="A63" s="54"/>
      <c r="D63" s="85" t="s">
        <v>511</v>
      </c>
      <c r="E63" s="85" t="s">
        <v>47</v>
      </c>
      <c r="F63" s="85"/>
      <c r="G63" s="86" t="n">
        <v>7.6</v>
      </c>
      <c r="H63" s="87"/>
    </row>
    <row r="64">
      <c r="A64" s="10" t="s">
        <v>47</v>
      </c>
      <c r="B64" s="11" t="s">
        <v>47</v>
      </c>
      <c r="C64" s="11" t="s">
        <v>47</v>
      </c>
      <c r="D64" s="85" t="s">
        <v>512</v>
      </c>
      <c r="E64" s="85" t="s">
        <v>47</v>
      </c>
      <c r="F64" s="85"/>
      <c r="G64" s="86" t="n">
        <v>10</v>
      </c>
      <c r="H64" s="52" t="s">
        <v>47</v>
      </c>
    </row>
    <row r="65">
      <c r="A65" s="10" t="s">
        <v>47</v>
      </c>
      <c r="B65" s="11" t="s">
        <v>47</v>
      </c>
      <c r="C65" s="11" t="s">
        <v>47</v>
      </c>
      <c r="D65" s="85" t="s">
        <v>507</v>
      </c>
      <c r="E65" s="85" t="s">
        <v>47</v>
      </c>
      <c r="F65" s="85"/>
      <c r="G65" s="86" t="n">
        <v>11.36</v>
      </c>
      <c r="H65" s="52" t="s">
        <v>47</v>
      </c>
    </row>
    <row r="66">
      <c r="A66" s="10" t="s">
        <v>118</v>
      </c>
      <c r="B66" s="11" t="s">
        <v>47</v>
      </c>
      <c r="C66" s="11" t="s">
        <v>119</v>
      </c>
      <c r="D66" s="11" t="s">
        <v>120</v>
      </c>
      <c r="E66" s="11"/>
      <c r="F66" s="11" t="s">
        <v>53</v>
      </c>
      <c r="G66" s="50" t="n">
        <v>15</v>
      </c>
      <c r="H66" s="83" t="n">
        <v>0</v>
      </c>
    </row>
    <row r="67">
      <c r="A67" s="54"/>
      <c r="D67" s="85" t="s">
        <v>526</v>
      </c>
      <c r="E67" s="85" t="s">
        <v>527</v>
      </c>
      <c r="F67" s="85"/>
      <c r="G67" s="86" t="n">
        <v>15</v>
      </c>
      <c r="H67" s="87"/>
    </row>
    <row r="68">
      <c r="A68" s="10" t="s">
        <v>121</v>
      </c>
      <c r="B68" s="11" t="s">
        <v>47</v>
      </c>
      <c r="C68" s="11" t="s">
        <v>122</v>
      </c>
      <c r="D68" s="11" t="s">
        <v>123</v>
      </c>
      <c r="E68" s="11"/>
      <c r="F68" s="11" t="s">
        <v>65</v>
      </c>
      <c r="G68" s="50" t="n">
        <v>20</v>
      </c>
      <c r="H68" s="83" t="n">
        <v>0</v>
      </c>
    </row>
    <row r="69">
      <c r="A69" s="54"/>
      <c r="D69" s="85" t="s">
        <v>133</v>
      </c>
      <c r="E69" s="85" t="s">
        <v>528</v>
      </c>
      <c r="F69" s="85"/>
      <c r="G69" s="86" t="n">
        <v>20</v>
      </c>
      <c r="H69" s="87"/>
    </row>
    <row r="70">
      <c r="A70" s="84" t="s">
        <v>47</v>
      </c>
      <c r="B70" s="60" t="s">
        <v>47</v>
      </c>
      <c r="C70" s="60" t="s">
        <v>124</v>
      </c>
      <c r="D70" s="60" t="s">
        <v>125</v>
      </c>
      <c r="E70" s="60"/>
      <c r="F70" s="60" t="s">
        <v>47</v>
      </c>
      <c r="G70" s="32" t="s">
        <v>47</v>
      </c>
      <c r="H70" s="64" t="s">
        <v>47</v>
      </c>
    </row>
    <row r="71">
      <c r="A71" s="10" t="s">
        <v>126</v>
      </c>
      <c r="B71" s="11" t="s">
        <v>47</v>
      </c>
      <c r="C71" s="11" t="s">
        <v>127</v>
      </c>
      <c r="D71" s="11" t="s">
        <v>128</v>
      </c>
      <c r="E71" s="11"/>
      <c r="F71" s="11" t="s">
        <v>129</v>
      </c>
      <c r="G71" s="50" t="n">
        <v>5.58231</v>
      </c>
      <c r="H71" s="83" t="n">
        <v>0</v>
      </c>
    </row>
    <row r="72">
      <c r="A72" s="54"/>
      <c r="D72" s="85" t="s">
        <v>529</v>
      </c>
      <c r="E72" s="85" t="s">
        <v>530</v>
      </c>
      <c r="F72" s="85"/>
      <c r="G72" s="86" t="n">
        <v>0.08231</v>
      </c>
      <c r="H72" s="87"/>
    </row>
    <row r="73">
      <c r="A73" s="10" t="s">
        <v>47</v>
      </c>
      <c r="B73" s="11" t="s">
        <v>47</v>
      </c>
      <c r="C73" s="11" t="s">
        <v>47</v>
      </c>
      <c r="D73" s="85" t="s">
        <v>531</v>
      </c>
      <c r="E73" s="85" t="s">
        <v>525</v>
      </c>
      <c r="F73" s="85"/>
      <c r="G73" s="86" t="n">
        <v>0.5</v>
      </c>
      <c r="H73" s="52" t="s">
        <v>47</v>
      </c>
    </row>
    <row r="74">
      <c r="A74" s="10" t="s">
        <v>47</v>
      </c>
      <c r="B74" s="11" t="s">
        <v>47</v>
      </c>
      <c r="C74" s="11" t="s">
        <v>47</v>
      </c>
      <c r="D74" s="85" t="s">
        <v>532</v>
      </c>
      <c r="E74" s="85" t="s">
        <v>533</v>
      </c>
      <c r="F74" s="85"/>
      <c r="G74" s="86" t="n">
        <v>5</v>
      </c>
      <c r="H74" s="52" t="s">
        <v>47</v>
      </c>
    </row>
    <row r="75">
      <c r="A75" s="84" t="s">
        <v>47</v>
      </c>
      <c r="B75" s="60" t="s">
        <v>47</v>
      </c>
      <c r="C75" s="60" t="s">
        <v>131</v>
      </c>
      <c r="D75" s="60" t="s">
        <v>132</v>
      </c>
      <c r="E75" s="60"/>
      <c r="F75" s="60" t="s">
        <v>47</v>
      </c>
      <c r="G75" s="32" t="s">
        <v>47</v>
      </c>
      <c r="H75" s="64" t="s">
        <v>47</v>
      </c>
    </row>
    <row r="76">
      <c r="A76" s="10" t="s">
        <v>133</v>
      </c>
      <c r="B76" s="11" t="s">
        <v>47</v>
      </c>
      <c r="C76" s="11" t="s">
        <v>134</v>
      </c>
      <c r="D76" s="11" t="s">
        <v>135</v>
      </c>
      <c r="E76" s="11"/>
      <c r="F76" s="11" t="s">
        <v>53</v>
      </c>
      <c r="G76" s="50" t="n">
        <v>3</v>
      </c>
      <c r="H76" s="83" t="n">
        <v>0</v>
      </c>
    </row>
    <row r="77">
      <c r="A77" s="84" t="s">
        <v>47</v>
      </c>
      <c r="B77" s="60" t="s">
        <v>47</v>
      </c>
      <c r="C77" s="60" t="s">
        <v>138</v>
      </c>
      <c r="D77" s="60" t="s">
        <v>139</v>
      </c>
      <c r="E77" s="60"/>
      <c r="F77" s="60" t="s">
        <v>47</v>
      </c>
      <c r="G77" s="32" t="s">
        <v>47</v>
      </c>
      <c r="H77" s="64" t="s">
        <v>47</v>
      </c>
    </row>
    <row r="78">
      <c r="A78" s="10" t="s">
        <v>140</v>
      </c>
      <c r="B78" s="11" t="s">
        <v>47</v>
      </c>
      <c r="C78" s="11" t="s">
        <v>141</v>
      </c>
      <c r="D78" s="11" t="s">
        <v>142</v>
      </c>
      <c r="E78" s="11"/>
      <c r="F78" s="11" t="s">
        <v>53</v>
      </c>
      <c r="G78" s="50" t="n">
        <v>1</v>
      </c>
      <c r="H78" s="83" t="n">
        <v>0</v>
      </c>
    </row>
    <row r="79">
      <c r="A79" s="10" t="s">
        <v>145</v>
      </c>
      <c r="B79" s="11" t="s">
        <v>47</v>
      </c>
      <c r="C79" s="11" t="s">
        <v>146</v>
      </c>
      <c r="D79" s="11" t="s">
        <v>147</v>
      </c>
      <c r="E79" s="11"/>
      <c r="F79" s="11" t="s">
        <v>53</v>
      </c>
      <c r="G79" s="50" t="n">
        <v>1</v>
      </c>
      <c r="H79" s="83" t="n">
        <v>0</v>
      </c>
    </row>
    <row r="80">
      <c r="A80" s="84" t="s">
        <v>47</v>
      </c>
      <c r="B80" s="60" t="s">
        <v>47</v>
      </c>
      <c r="C80" s="60" t="s">
        <v>149</v>
      </c>
      <c r="D80" s="60" t="s">
        <v>150</v>
      </c>
      <c r="E80" s="60"/>
      <c r="F80" s="60" t="s">
        <v>47</v>
      </c>
      <c r="G80" s="32" t="s">
        <v>47</v>
      </c>
      <c r="H80" s="64" t="s">
        <v>47</v>
      </c>
    </row>
    <row r="81">
      <c r="A81" s="10" t="s">
        <v>151</v>
      </c>
      <c r="B81" s="11" t="s">
        <v>47</v>
      </c>
      <c r="C81" s="11" t="s">
        <v>152</v>
      </c>
      <c r="D81" s="11" t="s">
        <v>153</v>
      </c>
      <c r="E81" s="11"/>
      <c r="F81" s="11" t="s">
        <v>154</v>
      </c>
      <c r="G81" s="50" t="n">
        <v>1</v>
      </c>
      <c r="H81" s="83" t="n">
        <v>0</v>
      </c>
    </row>
    <row r="82">
      <c r="A82" s="84" t="s">
        <v>47</v>
      </c>
      <c r="B82" s="60" t="s">
        <v>47</v>
      </c>
      <c r="C82" s="60" t="s">
        <v>157</v>
      </c>
      <c r="D82" s="60" t="s">
        <v>158</v>
      </c>
      <c r="E82" s="60"/>
      <c r="F82" s="60" t="s">
        <v>47</v>
      </c>
      <c r="G82" s="32" t="s">
        <v>47</v>
      </c>
      <c r="H82" s="64" t="s">
        <v>47</v>
      </c>
    </row>
    <row r="83">
      <c r="A83" s="10" t="s">
        <v>159</v>
      </c>
      <c r="B83" s="11" t="s">
        <v>47</v>
      </c>
      <c r="C83" s="11" t="s">
        <v>160</v>
      </c>
      <c r="D83" s="11" t="s">
        <v>161</v>
      </c>
      <c r="E83" s="11"/>
      <c r="F83" s="11" t="s">
        <v>53</v>
      </c>
      <c r="G83" s="50" t="n">
        <v>2</v>
      </c>
      <c r="H83" s="83" t="n">
        <v>0</v>
      </c>
    </row>
    <row r="84">
      <c r="A84" s="10" t="s">
        <v>163</v>
      </c>
      <c r="B84" s="11" t="s">
        <v>47</v>
      </c>
      <c r="C84" s="11" t="s">
        <v>164</v>
      </c>
      <c r="D84" s="11" t="s">
        <v>165</v>
      </c>
      <c r="E84" s="11"/>
      <c r="F84" s="11" t="s">
        <v>53</v>
      </c>
      <c r="G84" s="50" t="n">
        <v>4</v>
      </c>
      <c r="H84" s="83" t="n">
        <v>0</v>
      </c>
    </row>
    <row r="85">
      <c r="A85" s="10" t="s">
        <v>166</v>
      </c>
      <c r="B85" s="11" t="s">
        <v>47</v>
      </c>
      <c r="C85" s="11" t="s">
        <v>167</v>
      </c>
      <c r="D85" s="11" t="s">
        <v>168</v>
      </c>
      <c r="E85" s="11"/>
      <c r="F85" s="11" t="s">
        <v>53</v>
      </c>
      <c r="G85" s="50" t="n">
        <v>4</v>
      </c>
      <c r="H85" s="83" t="n">
        <v>0</v>
      </c>
    </row>
    <row r="86">
      <c r="A86" s="10" t="s">
        <v>169</v>
      </c>
      <c r="B86" s="11" t="s">
        <v>47</v>
      </c>
      <c r="C86" s="11" t="s">
        <v>170</v>
      </c>
      <c r="D86" s="11" t="s">
        <v>171</v>
      </c>
      <c r="E86" s="11"/>
      <c r="F86" s="11" t="s">
        <v>53</v>
      </c>
      <c r="G86" s="50" t="n">
        <v>4</v>
      </c>
      <c r="H86" s="83" t="n">
        <v>0</v>
      </c>
    </row>
    <row r="87">
      <c r="A87" s="10" t="s">
        <v>172</v>
      </c>
      <c r="B87" s="11" t="s">
        <v>47</v>
      </c>
      <c r="C87" s="11" t="s">
        <v>173</v>
      </c>
      <c r="D87" s="11" t="s">
        <v>174</v>
      </c>
      <c r="E87" s="11"/>
      <c r="F87" s="11" t="s">
        <v>53</v>
      </c>
      <c r="G87" s="50" t="n">
        <v>2</v>
      </c>
      <c r="H87" s="83" t="n">
        <v>0</v>
      </c>
    </row>
    <row r="88">
      <c r="A88" s="10" t="s">
        <v>175</v>
      </c>
      <c r="B88" s="11" t="s">
        <v>47</v>
      </c>
      <c r="C88" s="11" t="s">
        <v>176</v>
      </c>
      <c r="D88" s="11" t="s">
        <v>177</v>
      </c>
      <c r="E88" s="11"/>
      <c r="F88" s="11" t="s">
        <v>53</v>
      </c>
      <c r="G88" s="50" t="n">
        <v>4</v>
      </c>
      <c r="H88" s="83" t="n">
        <v>0</v>
      </c>
    </row>
    <row r="89">
      <c r="A89" s="10" t="s">
        <v>178</v>
      </c>
      <c r="B89" s="11" t="s">
        <v>47</v>
      </c>
      <c r="C89" s="11" t="s">
        <v>179</v>
      </c>
      <c r="D89" s="11" t="s">
        <v>180</v>
      </c>
      <c r="E89" s="11"/>
      <c r="F89" s="11" t="s">
        <v>53</v>
      </c>
      <c r="G89" s="50" t="n">
        <v>4</v>
      </c>
      <c r="H89" s="83" t="n">
        <v>0</v>
      </c>
    </row>
    <row r="90">
      <c r="A90" s="10" t="s">
        <v>48</v>
      </c>
      <c r="B90" s="11" t="s">
        <v>47</v>
      </c>
      <c r="C90" s="11" t="s">
        <v>181</v>
      </c>
      <c r="D90" s="11" t="s">
        <v>182</v>
      </c>
      <c r="E90" s="11"/>
      <c r="F90" s="11" t="s">
        <v>53</v>
      </c>
      <c r="G90" s="50" t="n">
        <v>4</v>
      </c>
      <c r="H90" s="83" t="n">
        <v>0</v>
      </c>
    </row>
    <row r="91">
      <c r="A91" s="10" t="s">
        <v>183</v>
      </c>
      <c r="B91" s="11" t="s">
        <v>47</v>
      </c>
      <c r="C91" s="11" t="s">
        <v>184</v>
      </c>
      <c r="D91" s="11" t="s">
        <v>185</v>
      </c>
      <c r="E91" s="11"/>
      <c r="F91" s="11" t="s">
        <v>53</v>
      </c>
      <c r="G91" s="50" t="n">
        <v>4</v>
      </c>
      <c r="H91" s="83" t="n">
        <v>0</v>
      </c>
    </row>
    <row r="92">
      <c r="A92" s="10" t="s">
        <v>186</v>
      </c>
      <c r="B92" s="11" t="s">
        <v>47</v>
      </c>
      <c r="C92" s="11" t="s">
        <v>187</v>
      </c>
      <c r="D92" s="11" t="s">
        <v>188</v>
      </c>
      <c r="E92" s="11"/>
      <c r="F92" s="11" t="s">
        <v>53</v>
      </c>
      <c r="G92" s="50" t="n">
        <v>4</v>
      </c>
      <c r="H92" s="83" t="n">
        <v>0</v>
      </c>
    </row>
    <row r="93">
      <c r="A93" s="10" t="s">
        <v>60</v>
      </c>
      <c r="B93" s="11" t="s">
        <v>47</v>
      </c>
      <c r="C93" s="11" t="s">
        <v>189</v>
      </c>
      <c r="D93" s="11" t="s">
        <v>190</v>
      </c>
      <c r="E93" s="11"/>
      <c r="F93" s="11" t="s">
        <v>53</v>
      </c>
      <c r="G93" s="50" t="n">
        <v>2</v>
      </c>
      <c r="H93" s="83" t="n">
        <v>0</v>
      </c>
    </row>
    <row r="94">
      <c r="A94" s="54"/>
      <c r="D94" s="85" t="s">
        <v>62</v>
      </c>
      <c r="E94" s="85" t="s">
        <v>47</v>
      </c>
      <c r="F94" s="85"/>
      <c r="G94" s="86" t="n">
        <v>2</v>
      </c>
      <c r="H94" s="87"/>
    </row>
    <row r="95">
      <c r="A95" s="10" t="s">
        <v>191</v>
      </c>
      <c r="B95" s="11" t="s">
        <v>47</v>
      </c>
      <c r="C95" s="11" t="s">
        <v>192</v>
      </c>
      <c r="D95" s="11" t="s">
        <v>193</v>
      </c>
      <c r="E95" s="11"/>
      <c r="F95" s="11" t="s">
        <v>53</v>
      </c>
      <c r="G95" s="50" t="n">
        <v>2</v>
      </c>
      <c r="H95" s="83" t="n">
        <v>0</v>
      </c>
    </row>
    <row r="96">
      <c r="A96" s="10" t="s">
        <v>194</v>
      </c>
      <c r="B96" s="11" t="s">
        <v>47</v>
      </c>
      <c r="C96" s="11" t="s">
        <v>195</v>
      </c>
      <c r="D96" s="11" t="s">
        <v>196</v>
      </c>
      <c r="E96" s="11"/>
      <c r="F96" s="11" t="s">
        <v>53</v>
      </c>
      <c r="G96" s="50" t="n">
        <v>4</v>
      </c>
      <c r="H96" s="83" t="n">
        <v>0</v>
      </c>
    </row>
    <row r="97">
      <c r="A97" s="10" t="s">
        <v>197</v>
      </c>
      <c r="B97" s="11" t="s">
        <v>47</v>
      </c>
      <c r="C97" s="11" t="s">
        <v>198</v>
      </c>
      <c r="D97" s="11" t="s">
        <v>199</v>
      </c>
      <c r="E97" s="11"/>
      <c r="F97" s="11" t="s">
        <v>53</v>
      </c>
      <c r="G97" s="50" t="n">
        <v>4</v>
      </c>
      <c r="H97" s="83" t="n">
        <v>0</v>
      </c>
    </row>
    <row r="98">
      <c r="A98" s="84" t="s">
        <v>47</v>
      </c>
      <c r="B98" s="60" t="s">
        <v>47</v>
      </c>
      <c r="C98" s="60" t="s">
        <v>200</v>
      </c>
      <c r="D98" s="60" t="s">
        <v>201</v>
      </c>
      <c r="E98" s="60"/>
      <c r="F98" s="60" t="s">
        <v>47</v>
      </c>
      <c r="G98" s="32" t="s">
        <v>47</v>
      </c>
      <c r="H98" s="64" t="s">
        <v>47</v>
      </c>
    </row>
    <row r="99">
      <c r="A99" s="10" t="s">
        <v>202</v>
      </c>
      <c r="B99" s="11" t="s">
        <v>47</v>
      </c>
      <c r="C99" s="11" t="s">
        <v>203</v>
      </c>
      <c r="D99" s="11" t="s">
        <v>204</v>
      </c>
      <c r="E99" s="11"/>
      <c r="F99" s="11" t="s">
        <v>53</v>
      </c>
      <c r="G99" s="50" t="n">
        <v>1</v>
      </c>
      <c r="H99" s="83" t="n">
        <v>0</v>
      </c>
    </row>
    <row r="100">
      <c r="A100" s="10" t="s">
        <v>206</v>
      </c>
      <c r="B100" s="11" t="s">
        <v>47</v>
      </c>
      <c r="C100" s="11" t="s">
        <v>207</v>
      </c>
      <c r="D100" s="11" t="s">
        <v>208</v>
      </c>
      <c r="E100" s="11"/>
      <c r="F100" s="11" t="s">
        <v>53</v>
      </c>
      <c r="G100" s="50" t="n">
        <v>1</v>
      </c>
      <c r="H100" s="83" t="n">
        <v>0</v>
      </c>
    </row>
    <row r="101">
      <c r="A101" s="84" t="s">
        <v>47</v>
      </c>
      <c r="B101" s="60" t="s">
        <v>47</v>
      </c>
      <c r="C101" s="60" t="s">
        <v>209</v>
      </c>
      <c r="D101" s="60" t="s">
        <v>210</v>
      </c>
      <c r="E101" s="60"/>
      <c r="F101" s="60" t="s">
        <v>47</v>
      </c>
      <c r="G101" s="32" t="s">
        <v>47</v>
      </c>
      <c r="H101" s="64" t="s">
        <v>47</v>
      </c>
    </row>
    <row r="102">
      <c r="A102" s="10" t="s">
        <v>211</v>
      </c>
      <c r="B102" s="11" t="s">
        <v>47</v>
      </c>
      <c r="C102" s="11" t="s">
        <v>212</v>
      </c>
      <c r="D102" s="11" t="s">
        <v>213</v>
      </c>
      <c r="E102" s="11"/>
      <c r="F102" s="11" t="s">
        <v>53</v>
      </c>
      <c r="G102" s="50" t="n">
        <v>7</v>
      </c>
      <c r="H102" s="83" t="n">
        <v>0</v>
      </c>
    </row>
    <row r="103">
      <c r="A103" s="54"/>
      <c r="D103" s="85" t="s">
        <v>70</v>
      </c>
      <c r="E103" s="85" t="s">
        <v>493</v>
      </c>
      <c r="F103" s="85"/>
      <c r="G103" s="86" t="n">
        <v>4</v>
      </c>
      <c r="H103" s="87"/>
    </row>
    <row r="104">
      <c r="A104" s="10" t="s">
        <v>47</v>
      </c>
      <c r="B104" s="11" t="s">
        <v>47</v>
      </c>
      <c r="C104" s="11" t="s">
        <v>47</v>
      </c>
      <c r="D104" s="85" t="s">
        <v>67</v>
      </c>
      <c r="E104" s="85" t="s">
        <v>534</v>
      </c>
      <c r="F104" s="85"/>
      <c r="G104" s="86" t="n">
        <v>3</v>
      </c>
      <c r="H104" s="52" t="s">
        <v>47</v>
      </c>
    </row>
    <row r="105">
      <c r="A105" s="10" t="s">
        <v>216</v>
      </c>
      <c r="B105" s="11" t="s">
        <v>47</v>
      </c>
      <c r="C105" s="11" t="s">
        <v>217</v>
      </c>
      <c r="D105" s="11" t="s">
        <v>218</v>
      </c>
      <c r="E105" s="11"/>
      <c r="F105" s="11" t="s">
        <v>53</v>
      </c>
      <c r="G105" s="50" t="n">
        <v>7</v>
      </c>
      <c r="H105" s="83" t="n">
        <v>0</v>
      </c>
    </row>
    <row r="106">
      <c r="A106" s="54"/>
      <c r="D106" s="85" t="s">
        <v>535</v>
      </c>
      <c r="E106" s="85" t="s">
        <v>47</v>
      </c>
      <c r="F106" s="85"/>
      <c r="G106" s="86" t="n">
        <v>7</v>
      </c>
      <c r="H106" s="87"/>
    </row>
    <row r="107">
      <c r="A107" s="10" t="s">
        <v>219</v>
      </c>
      <c r="B107" s="11" t="s">
        <v>47</v>
      </c>
      <c r="C107" s="11" t="s">
        <v>220</v>
      </c>
      <c r="D107" s="11" t="s">
        <v>221</v>
      </c>
      <c r="E107" s="11"/>
      <c r="F107" s="11" t="s">
        <v>65</v>
      </c>
      <c r="G107" s="50" t="n">
        <v>2.58</v>
      </c>
      <c r="H107" s="83" t="n">
        <v>0</v>
      </c>
    </row>
    <row r="108">
      <c r="A108" s="54"/>
      <c r="D108" s="85" t="s">
        <v>536</v>
      </c>
      <c r="E108" s="85" t="s">
        <v>493</v>
      </c>
      <c r="F108" s="85"/>
      <c r="G108" s="86" t="n">
        <v>1.44</v>
      </c>
      <c r="H108" s="87"/>
    </row>
    <row r="109">
      <c r="A109" s="10" t="s">
        <v>47</v>
      </c>
      <c r="B109" s="11" t="s">
        <v>47</v>
      </c>
      <c r="C109" s="11" t="s">
        <v>47</v>
      </c>
      <c r="D109" s="85" t="s">
        <v>537</v>
      </c>
      <c r="E109" s="85" t="s">
        <v>534</v>
      </c>
      <c r="F109" s="85"/>
      <c r="G109" s="86" t="n">
        <v>0.3</v>
      </c>
      <c r="H109" s="52" t="s">
        <v>47</v>
      </c>
    </row>
    <row r="110">
      <c r="A110" s="10" t="s">
        <v>47</v>
      </c>
      <c r="B110" s="11" t="s">
        <v>47</v>
      </c>
      <c r="C110" s="11" t="s">
        <v>47</v>
      </c>
      <c r="D110" s="85" t="s">
        <v>538</v>
      </c>
      <c r="E110" s="85" t="s">
        <v>47</v>
      </c>
      <c r="F110" s="85"/>
      <c r="G110" s="86" t="n">
        <v>0.84</v>
      </c>
      <c r="H110" s="52" t="s">
        <v>47</v>
      </c>
    </row>
    <row r="111">
      <c r="A111" s="10" t="s">
        <v>222</v>
      </c>
      <c r="B111" s="11" t="s">
        <v>47</v>
      </c>
      <c r="C111" s="11" t="s">
        <v>223</v>
      </c>
      <c r="D111" s="11" t="s">
        <v>224</v>
      </c>
      <c r="E111" s="11"/>
      <c r="F111" s="11" t="s">
        <v>53</v>
      </c>
      <c r="G111" s="50" t="n">
        <v>7</v>
      </c>
      <c r="H111" s="83" t="n">
        <v>0</v>
      </c>
    </row>
    <row r="112">
      <c r="A112" s="54"/>
      <c r="D112" s="85" t="s">
        <v>70</v>
      </c>
      <c r="E112" s="85" t="s">
        <v>493</v>
      </c>
      <c r="F112" s="85"/>
      <c r="G112" s="86" t="n">
        <v>4</v>
      </c>
      <c r="H112" s="87"/>
    </row>
    <row r="113">
      <c r="A113" s="10" t="s">
        <v>47</v>
      </c>
      <c r="B113" s="11" t="s">
        <v>47</v>
      </c>
      <c r="C113" s="11" t="s">
        <v>47</v>
      </c>
      <c r="D113" s="85" t="s">
        <v>67</v>
      </c>
      <c r="E113" s="85" t="s">
        <v>503</v>
      </c>
      <c r="F113" s="85"/>
      <c r="G113" s="86" t="n">
        <v>3</v>
      </c>
      <c r="H113" s="52" t="s">
        <v>47</v>
      </c>
    </row>
    <row r="114">
      <c r="A114" s="10" t="s">
        <v>225</v>
      </c>
      <c r="B114" s="11" t="s">
        <v>47</v>
      </c>
      <c r="C114" s="11" t="s">
        <v>226</v>
      </c>
      <c r="D114" s="11" t="s">
        <v>227</v>
      </c>
      <c r="E114" s="11"/>
      <c r="F114" s="11" t="s">
        <v>53</v>
      </c>
      <c r="G114" s="50" t="n">
        <v>2</v>
      </c>
      <c r="H114" s="83" t="n">
        <v>0</v>
      </c>
    </row>
    <row r="115">
      <c r="A115" s="54"/>
      <c r="D115" s="85" t="s">
        <v>62</v>
      </c>
      <c r="E115" s="85" t="s">
        <v>503</v>
      </c>
      <c r="F115" s="85"/>
      <c r="G115" s="86" t="n">
        <v>2</v>
      </c>
      <c r="H115" s="87"/>
    </row>
    <row r="116">
      <c r="A116" s="10" t="s">
        <v>228</v>
      </c>
      <c r="B116" s="11" t="s">
        <v>47</v>
      </c>
      <c r="C116" s="11" t="s">
        <v>229</v>
      </c>
      <c r="D116" s="11" t="s">
        <v>230</v>
      </c>
      <c r="E116" s="11"/>
      <c r="F116" s="11" t="s">
        <v>53</v>
      </c>
      <c r="G116" s="50" t="n">
        <v>1</v>
      </c>
      <c r="H116" s="83" t="n">
        <v>0</v>
      </c>
    </row>
    <row r="117">
      <c r="A117" s="54"/>
      <c r="D117" s="85" t="s">
        <v>50</v>
      </c>
      <c r="E117" s="85" t="s">
        <v>503</v>
      </c>
      <c r="F117" s="85"/>
      <c r="G117" s="86" t="n">
        <v>1</v>
      </c>
      <c r="H117" s="87"/>
    </row>
    <row r="118">
      <c r="A118" s="10" t="s">
        <v>231</v>
      </c>
      <c r="B118" s="11" t="s">
        <v>47</v>
      </c>
      <c r="C118" s="11" t="s">
        <v>232</v>
      </c>
      <c r="D118" s="11" t="s">
        <v>233</v>
      </c>
      <c r="E118" s="11"/>
      <c r="F118" s="11" t="s">
        <v>53</v>
      </c>
      <c r="G118" s="50" t="n">
        <v>4</v>
      </c>
      <c r="H118" s="83" t="n">
        <v>0</v>
      </c>
    </row>
    <row r="119">
      <c r="A119" s="54"/>
      <c r="D119" s="85" t="s">
        <v>70</v>
      </c>
      <c r="E119" s="85" t="s">
        <v>493</v>
      </c>
      <c r="F119" s="85"/>
      <c r="G119" s="86" t="n">
        <v>4</v>
      </c>
      <c r="H119" s="87"/>
    </row>
    <row r="120">
      <c r="A120" s="84" t="s">
        <v>47</v>
      </c>
      <c r="B120" s="60" t="s">
        <v>47</v>
      </c>
      <c r="C120" s="60" t="s">
        <v>234</v>
      </c>
      <c r="D120" s="60" t="s">
        <v>235</v>
      </c>
      <c r="E120" s="60"/>
      <c r="F120" s="60" t="s">
        <v>47</v>
      </c>
      <c r="G120" s="32" t="s">
        <v>47</v>
      </c>
      <c r="H120" s="64" t="s">
        <v>47</v>
      </c>
    </row>
    <row r="121">
      <c r="A121" s="10" t="s">
        <v>236</v>
      </c>
      <c r="B121" s="11" t="s">
        <v>47</v>
      </c>
      <c r="C121" s="11" t="s">
        <v>237</v>
      </c>
      <c r="D121" s="11" t="s">
        <v>238</v>
      </c>
      <c r="E121" s="11"/>
      <c r="F121" s="11" t="s">
        <v>65</v>
      </c>
      <c r="G121" s="50" t="n">
        <v>15.7773</v>
      </c>
      <c r="H121" s="83" t="n">
        <v>0</v>
      </c>
    </row>
    <row r="122">
      <c r="A122" s="54"/>
      <c r="D122" s="85" t="s">
        <v>539</v>
      </c>
      <c r="E122" s="85" t="s">
        <v>47</v>
      </c>
      <c r="F122" s="85"/>
      <c r="G122" s="86" t="n">
        <v>3.6393</v>
      </c>
      <c r="H122" s="87"/>
    </row>
    <row r="123">
      <c r="A123" s="10" t="s">
        <v>47</v>
      </c>
      <c r="B123" s="11" t="s">
        <v>47</v>
      </c>
      <c r="C123" s="11" t="s">
        <v>47</v>
      </c>
      <c r="D123" s="85" t="s">
        <v>540</v>
      </c>
      <c r="E123" s="85" t="s">
        <v>47</v>
      </c>
      <c r="F123" s="85"/>
      <c r="G123" s="86" t="n">
        <v>2.73</v>
      </c>
      <c r="H123" s="52" t="s">
        <v>47</v>
      </c>
    </row>
    <row r="124">
      <c r="A124" s="10" t="s">
        <v>47</v>
      </c>
      <c r="B124" s="11" t="s">
        <v>47</v>
      </c>
      <c r="C124" s="11" t="s">
        <v>47</v>
      </c>
      <c r="D124" s="85" t="s">
        <v>541</v>
      </c>
      <c r="E124" s="85" t="s">
        <v>47</v>
      </c>
      <c r="F124" s="85"/>
      <c r="G124" s="86" t="n">
        <v>1.89</v>
      </c>
      <c r="H124" s="52" t="s">
        <v>47</v>
      </c>
    </row>
    <row r="125">
      <c r="A125" s="10" t="s">
        <v>47</v>
      </c>
      <c r="B125" s="11" t="s">
        <v>47</v>
      </c>
      <c r="C125" s="11" t="s">
        <v>47</v>
      </c>
      <c r="D125" s="85" t="s">
        <v>542</v>
      </c>
      <c r="E125" s="85" t="s">
        <v>47</v>
      </c>
      <c r="F125" s="85"/>
      <c r="G125" s="86" t="n">
        <v>3.5805</v>
      </c>
      <c r="H125" s="52" t="s">
        <v>47</v>
      </c>
    </row>
    <row r="126">
      <c r="A126" s="10" t="s">
        <v>47</v>
      </c>
      <c r="B126" s="11" t="s">
        <v>47</v>
      </c>
      <c r="C126" s="11" t="s">
        <v>47</v>
      </c>
      <c r="D126" s="85" t="s">
        <v>543</v>
      </c>
      <c r="E126" s="85" t="s">
        <v>47</v>
      </c>
      <c r="F126" s="85"/>
      <c r="G126" s="86" t="n">
        <v>3.9375</v>
      </c>
      <c r="H126" s="52" t="s">
        <v>47</v>
      </c>
    </row>
    <row r="127">
      <c r="A127" s="10" t="s">
        <v>242</v>
      </c>
      <c r="B127" s="11" t="s">
        <v>47</v>
      </c>
      <c r="C127" s="11" t="s">
        <v>243</v>
      </c>
      <c r="D127" s="11" t="s">
        <v>244</v>
      </c>
      <c r="E127" s="11"/>
      <c r="F127" s="11" t="s">
        <v>53</v>
      </c>
      <c r="G127" s="50" t="n">
        <v>3</v>
      </c>
      <c r="H127" s="83" t="n">
        <v>0</v>
      </c>
    </row>
    <row r="128">
      <c r="A128" s="10" t="s">
        <v>245</v>
      </c>
      <c r="B128" s="11" t="s">
        <v>47</v>
      </c>
      <c r="C128" s="11" t="s">
        <v>246</v>
      </c>
      <c r="D128" s="11" t="s">
        <v>247</v>
      </c>
      <c r="E128" s="11"/>
      <c r="F128" s="11" t="s">
        <v>53</v>
      </c>
      <c r="G128" s="50" t="n">
        <v>9</v>
      </c>
      <c r="H128" s="83" t="n">
        <v>0</v>
      </c>
    </row>
    <row r="129">
      <c r="A129" s="10" t="s">
        <v>248</v>
      </c>
      <c r="B129" s="11" t="s">
        <v>47</v>
      </c>
      <c r="C129" s="11" t="s">
        <v>249</v>
      </c>
      <c r="D129" s="11" t="s">
        <v>250</v>
      </c>
      <c r="E129" s="11"/>
      <c r="F129" s="11" t="s">
        <v>53</v>
      </c>
      <c r="G129" s="50" t="n">
        <v>3</v>
      </c>
      <c r="H129" s="83" t="n">
        <v>0</v>
      </c>
    </row>
    <row r="130">
      <c r="A130" s="10" t="s">
        <v>251</v>
      </c>
      <c r="B130" s="11" t="s">
        <v>47</v>
      </c>
      <c r="C130" s="11" t="s">
        <v>252</v>
      </c>
      <c r="D130" s="11" t="s">
        <v>253</v>
      </c>
      <c r="E130" s="11"/>
      <c r="F130" s="11" t="s">
        <v>53</v>
      </c>
      <c r="G130" s="50" t="n">
        <v>3</v>
      </c>
      <c r="H130" s="83" t="n">
        <v>0</v>
      </c>
    </row>
    <row r="131">
      <c r="A131" s="10" t="s">
        <v>254</v>
      </c>
      <c r="B131" s="11" t="s">
        <v>47</v>
      </c>
      <c r="C131" s="11" t="s">
        <v>255</v>
      </c>
      <c r="D131" s="11" t="s">
        <v>256</v>
      </c>
      <c r="E131" s="11"/>
      <c r="F131" s="11" t="s">
        <v>53</v>
      </c>
      <c r="G131" s="50" t="n">
        <v>3</v>
      </c>
      <c r="H131" s="83" t="n">
        <v>0</v>
      </c>
    </row>
    <row r="132">
      <c r="A132" s="10" t="s">
        <v>257</v>
      </c>
      <c r="B132" s="11" t="s">
        <v>47</v>
      </c>
      <c r="C132" s="11" t="s">
        <v>258</v>
      </c>
      <c r="D132" s="11" t="s">
        <v>259</v>
      </c>
      <c r="E132" s="11"/>
      <c r="F132" s="11" t="s">
        <v>53</v>
      </c>
      <c r="G132" s="50" t="n">
        <v>3</v>
      </c>
      <c r="H132" s="83" t="n">
        <v>0</v>
      </c>
    </row>
    <row r="133">
      <c r="A133" s="10" t="s">
        <v>260</v>
      </c>
      <c r="B133" s="11" t="s">
        <v>47</v>
      </c>
      <c r="C133" s="11" t="s">
        <v>261</v>
      </c>
      <c r="D133" s="11" t="s">
        <v>262</v>
      </c>
      <c r="E133" s="11"/>
      <c r="F133" s="11" t="s">
        <v>53</v>
      </c>
      <c r="G133" s="50" t="n">
        <v>2</v>
      </c>
      <c r="H133" s="83" t="n">
        <v>0</v>
      </c>
    </row>
    <row r="134">
      <c r="A134" s="10" t="s">
        <v>263</v>
      </c>
      <c r="B134" s="11" t="s">
        <v>47</v>
      </c>
      <c r="C134" s="11" t="s">
        <v>264</v>
      </c>
      <c r="D134" s="11" t="s">
        <v>265</v>
      </c>
      <c r="E134" s="11"/>
      <c r="F134" s="11" t="s">
        <v>65</v>
      </c>
      <c r="G134" s="50" t="n">
        <v>1.98</v>
      </c>
      <c r="H134" s="83" t="n">
        <v>0</v>
      </c>
    </row>
    <row r="135">
      <c r="A135" s="54"/>
      <c r="D135" s="85" t="s">
        <v>544</v>
      </c>
      <c r="E135" s="85" t="s">
        <v>47</v>
      </c>
      <c r="F135" s="85"/>
      <c r="G135" s="86" t="n">
        <v>1.2</v>
      </c>
      <c r="H135" s="87"/>
    </row>
    <row r="136">
      <c r="A136" s="10" t="s">
        <v>47</v>
      </c>
      <c r="B136" s="11" t="s">
        <v>47</v>
      </c>
      <c r="C136" s="11" t="s">
        <v>47</v>
      </c>
      <c r="D136" s="85" t="s">
        <v>545</v>
      </c>
      <c r="E136" s="85" t="s">
        <v>47</v>
      </c>
      <c r="F136" s="85"/>
      <c r="G136" s="86" t="n">
        <v>0.78</v>
      </c>
      <c r="H136" s="52" t="s">
        <v>47</v>
      </c>
    </row>
    <row r="137">
      <c r="A137" s="10" t="s">
        <v>266</v>
      </c>
      <c r="B137" s="11" t="s">
        <v>47</v>
      </c>
      <c r="C137" s="11" t="s">
        <v>267</v>
      </c>
      <c r="D137" s="11" t="s">
        <v>268</v>
      </c>
      <c r="E137" s="11"/>
      <c r="F137" s="11" t="s">
        <v>53</v>
      </c>
      <c r="G137" s="50" t="n">
        <v>1</v>
      </c>
      <c r="H137" s="83" t="n">
        <v>0</v>
      </c>
    </row>
    <row r="138">
      <c r="A138" s="10" t="s">
        <v>269</v>
      </c>
      <c r="B138" s="11" t="s">
        <v>47</v>
      </c>
      <c r="C138" s="11" t="s">
        <v>270</v>
      </c>
      <c r="D138" s="11" t="s">
        <v>271</v>
      </c>
      <c r="E138" s="11"/>
      <c r="F138" s="11" t="s">
        <v>272</v>
      </c>
      <c r="G138" s="50" t="n">
        <v>0.381</v>
      </c>
      <c r="H138" s="83" t="n">
        <v>0</v>
      </c>
    </row>
    <row r="139">
      <c r="A139" s="84" t="s">
        <v>47</v>
      </c>
      <c r="B139" s="60" t="s">
        <v>47</v>
      </c>
      <c r="C139" s="60" t="s">
        <v>273</v>
      </c>
      <c r="D139" s="60" t="s">
        <v>274</v>
      </c>
      <c r="E139" s="60"/>
      <c r="F139" s="60" t="s">
        <v>47</v>
      </c>
      <c r="G139" s="32" t="s">
        <v>47</v>
      </c>
      <c r="H139" s="64" t="s">
        <v>47</v>
      </c>
    </row>
    <row r="140">
      <c r="A140" s="10" t="s">
        <v>275</v>
      </c>
      <c r="B140" s="11" t="s">
        <v>47</v>
      </c>
      <c r="C140" s="11" t="s">
        <v>276</v>
      </c>
      <c r="D140" s="11" t="s">
        <v>277</v>
      </c>
      <c r="E140" s="11"/>
      <c r="F140" s="11" t="s">
        <v>65</v>
      </c>
      <c r="G140" s="50" t="n">
        <v>24.33</v>
      </c>
      <c r="H140" s="83" t="n">
        <v>0</v>
      </c>
    </row>
    <row r="141">
      <c r="A141" s="54"/>
      <c r="D141" s="85" t="s">
        <v>546</v>
      </c>
      <c r="E141" s="85" t="s">
        <v>47</v>
      </c>
      <c r="F141" s="85"/>
      <c r="G141" s="86" t="n">
        <v>24.33</v>
      </c>
      <c r="H141" s="87"/>
    </row>
    <row r="142">
      <c r="A142" s="10" t="s">
        <v>280</v>
      </c>
      <c r="B142" s="11" t="s">
        <v>47</v>
      </c>
      <c r="C142" s="11" t="s">
        <v>281</v>
      </c>
      <c r="D142" s="11" t="s">
        <v>282</v>
      </c>
      <c r="E142" s="11"/>
      <c r="F142" s="11" t="s">
        <v>65</v>
      </c>
      <c r="G142" s="50" t="n">
        <v>24.33</v>
      </c>
      <c r="H142" s="83" t="n">
        <v>0</v>
      </c>
    </row>
    <row r="143">
      <c r="A143" s="10" t="s">
        <v>283</v>
      </c>
      <c r="B143" s="11" t="s">
        <v>47</v>
      </c>
      <c r="C143" s="11" t="s">
        <v>284</v>
      </c>
      <c r="D143" s="11" t="s">
        <v>285</v>
      </c>
      <c r="E143" s="11"/>
      <c r="F143" s="11" t="s">
        <v>65</v>
      </c>
      <c r="G143" s="50" t="n">
        <v>24.33</v>
      </c>
      <c r="H143" s="83" t="n">
        <v>0</v>
      </c>
    </row>
    <row r="144">
      <c r="A144" s="10" t="s">
        <v>77</v>
      </c>
      <c r="B144" s="11" t="s">
        <v>47</v>
      </c>
      <c r="C144" s="11" t="s">
        <v>286</v>
      </c>
      <c r="D144" s="11" t="s">
        <v>287</v>
      </c>
      <c r="E144" s="11"/>
      <c r="F144" s="11" t="s">
        <v>65</v>
      </c>
      <c r="G144" s="50" t="n">
        <v>24.33</v>
      </c>
      <c r="H144" s="83" t="n">
        <v>0</v>
      </c>
    </row>
    <row r="145">
      <c r="A145" s="10" t="s">
        <v>288</v>
      </c>
      <c r="B145" s="11" t="s">
        <v>47</v>
      </c>
      <c r="C145" s="11" t="s">
        <v>289</v>
      </c>
      <c r="D145" s="11" t="s">
        <v>290</v>
      </c>
      <c r="E145" s="11"/>
      <c r="F145" s="11" t="s">
        <v>95</v>
      </c>
      <c r="G145" s="50" t="n">
        <v>5.1</v>
      </c>
      <c r="H145" s="83" t="n">
        <v>0</v>
      </c>
    </row>
    <row r="146">
      <c r="A146" s="54"/>
      <c r="D146" s="85" t="s">
        <v>547</v>
      </c>
      <c r="E146" s="85" t="s">
        <v>47</v>
      </c>
      <c r="F146" s="85"/>
      <c r="G146" s="86" t="n">
        <v>5.1</v>
      </c>
      <c r="H146" s="87"/>
    </row>
    <row r="147">
      <c r="A147" s="10" t="s">
        <v>124</v>
      </c>
      <c r="B147" s="11" t="s">
        <v>47</v>
      </c>
      <c r="C147" s="11" t="s">
        <v>292</v>
      </c>
      <c r="D147" s="11" t="s">
        <v>293</v>
      </c>
      <c r="E147" s="11"/>
      <c r="F147" s="11" t="s">
        <v>65</v>
      </c>
      <c r="G147" s="50" t="n">
        <v>24.33</v>
      </c>
      <c r="H147" s="83" t="n">
        <v>0</v>
      </c>
    </row>
    <row r="148">
      <c r="A148" s="10" t="s">
        <v>131</v>
      </c>
      <c r="B148" s="11" t="s">
        <v>47</v>
      </c>
      <c r="C148" s="11" t="s">
        <v>295</v>
      </c>
      <c r="D148" s="11" t="s">
        <v>296</v>
      </c>
      <c r="E148" s="11"/>
      <c r="F148" s="11" t="s">
        <v>65</v>
      </c>
      <c r="G148" s="50" t="n">
        <v>24.33</v>
      </c>
      <c r="H148" s="83" t="n">
        <v>0</v>
      </c>
    </row>
    <row r="149">
      <c r="A149" s="10" t="s">
        <v>297</v>
      </c>
      <c r="B149" s="11" t="s">
        <v>47</v>
      </c>
      <c r="C149" s="11" t="s">
        <v>298</v>
      </c>
      <c r="D149" s="11" t="s">
        <v>299</v>
      </c>
      <c r="E149" s="11"/>
      <c r="F149" s="11" t="s">
        <v>65</v>
      </c>
      <c r="G149" s="50" t="n">
        <v>24.33</v>
      </c>
      <c r="H149" s="83" t="n">
        <v>0</v>
      </c>
    </row>
    <row r="150">
      <c r="A150" s="10" t="s">
        <v>300</v>
      </c>
      <c r="B150" s="11" t="s">
        <v>47</v>
      </c>
      <c r="C150" s="11" t="s">
        <v>301</v>
      </c>
      <c r="D150" s="11" t="s">
        <v>302</v>
      </c>
      <c r="E150" s="11"/>
      <c r="F150" s="11" t="s">
        <v>95</v>
      </c>
      <c r="G150" s="50" t="n">
        <v>10.261</v>
      </c>
      <c r="H150" s="83" t="n">
        <v>0</v>
      </c>
    </row>
    <row r="151">
      <c r="A151" s="54"/>
      <c r="D151" s="85" t="s">
        <v>548</v>
      </c>
      <c r="E151" s="85" t="s">
        <v>47</v>
      </c>
      <c r="F151" s="85"/>
      <c r="G151" s="86" t="n">
        <v>10.261</v>
      </c>
      <c r="H151" s="87"/>
    </row>
    <row r="152">
      <c r="A152" s="10" t="s">
        <v>303</v>
      </c>
      <c r="B152" s="11" t="s">
        <v>47</v>
      </c>
      <c r="C152" s="11" t="s">
        <v>304</v>
      </c>
      <c r="D152" s="11" t="s">
        <v>305</v>
      </c>
      <c r="E152" s="11"/>
      <c r="F152" s="11" t="s">
        <v>65</v>
      </c>
      <c r="G152" s="50" t="n">
        <v>29.15951</v>
      </c>
      <c r="H152" s="83" t="n">
        <v>0</v>
      </c>
    </row>
    <row r="153">
      <c r="A153" s="54"/>
      <c r="D153" s="85" t="s">
        <v>549</v>
      </c>
      <c r="E153" s="85" t="s">
        <v>47</v>
      </c>
      <c r="F153" s="85"/>
      <c r="G153" s="86" t="n">
        <v>29.15951</v>
      </c>
      <c r="H153" s="87"/>
    </row>
    <row r="154">
      <c r="A154" s="10" t="s">
        <v>306</v>
      </c>
      <c r="B154" s="11" t="s">
        <v>47</v>
      </c>
      <c r="C154" s="11" t="s">
        <v>307</v>
      </c>
      <c r="D154" s="11" t="s">
        <v>308</v>
      </c>
      <c r="E154" s="11"/>
      <c r="F154" s="11" t="s">
        <v>272</v>
      </c>
      <c r="G154" s="50" t="n">
        <v>0.8302</v>
      </c>
      <c r="H154" s="83" t="n">
        <v>0</v>
      </c>
    </row>
    <row r="155">
      <c r="A155" s="84" t="s">
        <v>47</v>
      </c>
      <c r="B155" s="60" t="s">
        <v>47</v>
      </c>
      <c r="C155" s="60" t="s">
        <v>309</v>
      </c>
      <c r="D155" s="60" t="s">
        <v>310</v>
      </c>
      <c r="E155" s="60"/>
      <c r="F155" s="60" t="s">
        <v>47</v>
      </c>
      <c r="G155" s="32" t="s">
        <v>47</v>
      </c>
      <c r="H155" s="64" t="s">
        <v>47</v>
      </c>
    </row>
    <row r="156">
      <c r="A156" s="10" t="s">
        <v>311</v>
      </c>
      <c r="B156" s="11" t="s">
        <v>47</v>
      </c>
      <c r="C156" s="11" t="s">
        <v>312</v>
      </c>
      <c r="D156" s="11" t="s">
        <v>313</v>
      </c>
      <c r="E156" s="11"/>
      <c r="F156" s="11" t="s">
        <v>95</v>
      </c>
      <c r="G156" s="50" t="n">
        <v>121.957</v>
      </c>
      <c r="H156" s="83" t="n">
        <v>0</v>
      </c>
    </row>
    <row r="157">
      <c r="A157" s="54"/>
      <c r="D157" s="85" t="s">
        <v>550</v>
      </c>
      <c r="E157" s="85" t="s">
        <v>493</v>
      </c>
      <c r="F157" s="85"/>
      <c r="G157" s="86" t="n">
        <v>19.774</v>
      </c>
      <c r="H157" s="87"/>
    </row>
    <row r="158">
      <c r="A158" s="10" t="s">
        <v>47</v>
      </c>
      <c r="B158" s="11" t="s">
        <v>47</v>
      </c>
      <c r="C158" s="11" t="s">
        <v>47</v>
      </c>
      <c r="D158" s="85" t="s">
        <v>551</v>
      </c>
      <c r="E158" s="85" t="s">
        <v>552</v>
      </c>
      <c r="F158" s="85"/>
      <c r="G158" s="86" t="n">
        <v>27.084</v>
      </c>
      <c r="H158" s="52" t="s">
        <v>47</v>
      </c>
    </row>
    <row r="159">
      <c r="A159" s="10" t="s">
        <v>47</v>
      </c>
      <c r="B159" s="11" t="s">
        <v>47</v>
      </c>
      <c r="C159" s="11" t="s">
        <v>47</v>
      </c>
      <c r="D159" s="85" t="s">
        <v>553</v>
      </c>
      <c r="E159" s="85" t="s">
        <v>523</v>
      </c>
      <c r="F159" s="85"/>
      <c r="G159" s="86" t="n">
        <v>29.283</v>
      </c>
      <c r="H159" s="52" t="s">
        <v>47</v>
      </c>
    </row>
    <row r="160">
      <c r="A160" s="10" t="s">
        <v>47</v>
      </c>
      <c r="B160" s="11" t="s">
        <v>47</v>
      </c>
      <c r="C160" s="11" t="s">
        <v>47</v>
      </c>
      <c r="D160" s="85" t="s">
        <v>554</v>
      </c>
      <c r="E160" s="85" t="s">
        <v>555</v>
      </c>
      <c r="F160" s="85"/>
      <c r="G160" s="86" t="n">
        <v>22.908</v>
      </c>
      <c r="H160" s="52" t="s">
        <v>47</v>
      </c>
    </row>
    <row r="161">
      <c r="A161" s="10" t="s">
        <v>47</v>
      </c>
      <c r="B161" s="11" t="s">
        <v>47</v>
      </c>
      <c r="C161" s="11" t="s">
        <v>47</v>
      </c>
      <c r="D161" s="85" t="s">
        <v>554</v>
      </c>
      <c r="E161" s="85" t="s">
        <v>556</v>
      </c>
      <c r="F161" s="85"/>
      <c r="G161" s="86" t="n">
        <v>22.908</v>
      </c>
      <c r="H161" s="52" t="s">
        <v>47</v>
      </c>
    </row>
    <row r="162">
      <c r="A162" s="10" t="s">
        <v>315</v>
      </c>
      <c r="B162" s="11" t="s">
        <v>47</v>
      </c>
      <c r="C162" s="11" t="s">
        <v>316</v>
      </c>
      <c r="D162" s="11" t="s">
        <v>317</v>
      </c>
      <c r="E162" s="11"/>
      <c r="F162" s="11" t="s">
        <v>65</v>
      </c>
      <c r="G162" s="50" t="n">
        <v>187.12</v>
      </c>
      <c r="H162" s="83" t="n">
        <v>0</v>
      </c>
    </row>
    <row r="163">
      <c r="A163" s="54"/>
      <c r="D163" s="85" t="s">
        <v>557</v>
      </c>
      <c r="E163" s="85" t="s">
        <v>493</v>
      </c>
      <c r="F163" s="85"/>
      <c r="G163" s="86" t="n">
        <v>26.59</v>
      </c>
      <c r="H163" s="87"/>
    </row>
    <row r="164">
      <c r="A164" s="10" t="s">
        <v>47</v>
      </c>
      <c r="B164" s="11" t="s">
        <v>47</v>
      </c>
      <c r="C164" s="11" t="s">
        <v>47</v>
      </c>
      <c r="D164" s="85" t="s">
        <v>558</v>
      </c>
      <c r="E164" s="85" t="s">
        <v>552</v>
      </c>
      <c r="F164" s="85"/>
      <c r="G164" s="86" t="n">
        <v>38.95</v>
      </c>
      <c r="H164" s="52" t="s">
        <v>47</v>
      </c>
    </row>
    <row r="165">
      <c r="A165" s="10" t="s">
        <v>47</v>
      </c>
      <c r="B165" s="11" t="s">
        <v>47</v>
      </c>
      <c r="C165" s="11" t="s">
        <v>47</v>
      </c>
      <c r="D165" s="85" t="s">
        <v>559</v>
      </c>
      <c r="E165" s="85" t="s">
        <v>523</v>
      </c>
      <c r="F165" s="85"/>
      <c r="G165" s="86" t="n">
        <v>51.72</v>
      </c>
      <c r="H165" s="52" t="s">
        <v>47</v>
      </c>
    </row>
    <row r="166">
      <c r="A166" s="10" t="s">
        <v>47</v>
      </c>
      <c r="B166" s="11" t="s">
        <v>47</v>
      </c>
      <c r="C166" s="11" t="s">
        <v>47</v>
      </c>
      <c r="D166" s="85" t="s">
        <v>560</v>
      </c>
      <c r="E166" s="85" t="s">
        <v>561</v>
      </c>
      <c r="F166" s="85"/>
      <c r="G166" s="86" t="n">
        <v>69.86</v>
      </c>
      <c r="H166" s="52" t="s">
        <v>47</v>
      </c>
    </row>
    <row r="167">
      <c r="A167" s="10" t="s">
        <v>318</v>
      </c>
      <c r="B167" s="11" t="s">
        <v>47</v>
      </c>
      <c r="C167" s="11" t="s">
        <v>319</v>
      </c>
      <c r="D167" s="11" t="s">
        <v>320</v>
      </c>
      <c r="E167" s="11"/>
      <c r="F167" s="11" t="s">
        <v>65</v>
      </c>
      <c r="G167" s="50" t="n">
        <v>187.12</v>
      </c>
      <c r="H167" s="83" t="n">
        <v>0</v>
      </c>
    </row>
    <row r="168">
      <c r="A168" s="54"/>
      <c r="D168" s="85" t="s">
        <v>562</v>
      </c>
      <c r="E168" s="85" t="s">
        <v>533</v>
      </c>
      <c r="F168" s="85"/>
      <c r="G168" s="86" t="n">
        <v>187.12</v>
      </c>
      <c r="H168" s="87"/>
    </row>
    <row r="169">
      <c r="A169" s="10" t="s">
        <v>321</v>
      </c>
      <c r="B169" s="11" t="s">
        <v>47</v>
      </c>
      <c r="C169" s="11" t="s">
        <v>322</v>
      </c>
      <c r="D169" s="11" t="s">
        <v>323</v>
      </c>
      <c r="E169" s="11"/>
      <c r="F169" s="11" t="s">
        <v>65</v>
      </c>
      <c r="G169" s="50" t="n">
        <v>187.12</v>
      </c>
      <c r="H169" s="83" t="n">
        <v>0</v>
      </c>
    </row>
    <row r="170">
      <c r="A170" s="54"/>
      <c r="D170" s="85" t="s">
        <v>562</v>
      </c>
      <c r="E170" s="85" t="s">
        <v>533</v>
      </c>
      <c r="F170" s="85"/>
      <c r="G170" s="86" t="n">
        <v>187.12</v>
      </c>
      <c r="H170" s="87"/>
    </row>
    <row r="171">
      <c r="A171" s="10" t="s">
        <v>325</v>
      </c>
      <c r="B171" s="11" t="s">
        <v>47</v>
      </c>
      <c r="C171" s="11" t="s">
        <v>326</v>
      </c>
      <c r="D171" s="11" t="s">
        <v>327</v>
      </c>
      <c r="E171" s="11"/>
      <c r="F171" s="11" t="s">
        <v>65</v>
      </c>
      <c r="G171" s="50" t="n">
        <v>187.12</v>
      </c>
      <c r="H171" s="83" t="n">
        <v>0</v>
      </c>
    </row>
    <row r="172">
      <c r="A172" s="54"/>
      <c r="D172" s="85" t="s">
        <v>562</v>
      </c>
      <c r="E172" s="85" t="s">
        <v>533</v>
      </c>
      <c r="F172" s="85"/>
      <c r="G172" s="86" t="n">
        <v>187.12</v>
      </c>
      <c r="H172" s="87"/>
    </row>
    <row r="173">
      <c r="A173" s="10" t="s">
        <v>328</v>
      </c>
      <c r="B173" s="11" t="s">
        <v>47</v>
      </c>
      <c r="C173" s="11" t="s">
        <v>329</v>
      </c>
      <c r="D173" s="11" t="s">
        <v>330</v>
      </c>
      <c r="E173" s="11"/>
      <c r="F173" s="11" t="s">
        <v>65</v>
      </c>
      <c r="G173" s="50" t="n">
        <v>187.12</v>
      </c>
      <c r="H173" s="83" t="n">
        <v>0</v>
      </c>
    </row>
    <row r="174">
      <c r="A174" s="54"/>
      <c r="D174" s="85" t="s">
        <v>562</v>
      </c>
      <c r="E174" s="85" t="s">
        <v>533</v>
      </c>
      <c r="F174" s="85"/>
      <c r="G174" s="86" t="n">
        <v>187.12</v>
      </c>
      <c r="H174" s="87"/>
    </row>
    <row r="175">
      <c r="A175" s="10" t="s">
        <v>332</v>
      </c>
      <c r="B175" s="11" t="s">
        <v>47</v>
      </c>
      <c r="C175" s="11" t="s">
        <v>333</v>
      </c>
      <c r="D175" s="11" t="s">
        <v>334</v>
      </c>
      <c r="E175" s="11"/>
      <c r="F175" s="11" t="s">
        <v>95</v>
      </c>
      <c r="G175" s="50" t="n">
        <v>121.957</v>
      </c>
      <c r="H175" s="83" t="n">
        <v>0</v>
      </c>
    </row>
    <row r="176">
      <c r="A176" s="54"/>
      <c r="D176" s="85" t="s">
        <v>563</v>
      </c>
      <c r="E176" s="85" t="s">
        <v>564</v>
      </c>
      <c r="F176" s="85"/>
      <c r="G176" s="86" t="n">
        <v>121.957</v>
      </c>
      <c r="H176" s="87"/>
    </row>
    <row r="177">
      <c r="A177" s="10" t="s">
        <v>336</v>
      </c>
      <c r="B177" s="11" t="s">
        <v>47</v>
      </c>
      <c r="C177" s="11" t="s">
        <v>337</v>
      </c>
      <c r="D177" s="11" t="s">
        <v>338</v>
      </c>
      <c r="E177" s="11"/>
      <c r="F177" s="11" t="s">
        <v>65</v>
      </c>
      <c r="G177" s="50" t="n">
        <v>215.188</v>
      </c>
      <c r="H177" s="83" t="n">
        <v>0</v>
      </c>
    </row>
    <row r="178">
      <c r="A178" s="54"/>
      <c r="D178" s="85" t="s">
        <v>565</v>
      </c>
      <c r="E178" s="85" t="s">
        <v>47</v>
      </c>
      <c r="F178" s="85"/>
      <c r="G178" s="86" t="n">
        <v>215.188</v>
      </c>
      <c r="H178" s="87"/>
    </row>
    <row r="179">
      <c r="A179" s="10" t="s">
        <v>339</v>
      </c>
      <c r="B179" s="11" t="s">
        <v>47</v>
      </c>
      <c r="C179" s="11" t="s">
        <v>340</v>
      </c>
      <c r="D179" s="11" t="s">
        <v>341</v>
      </c>
      <c r="E179" s="11"/>
      <c r="F179" s="11" t="s">
        <v>272</v>
      </c>
      <c r="G179" s="50" t="n">
        <v>1.2124</v>
      </c>
      <c r="H179" s="83" t="n">
        <v>0</v>
      </c>
    </row>
    <row r="180">
      <c r="A180" s="84" t="s">
        <v>47</v>
      </c>
      <c r="B180" s="60" t="s">
        <v>47</v>
      </c>
      <c r="C180" s="60" t="s">
        <v>342</v>
      </c>
      <c r="D180" s="60" t="s">
        <v>343</v>
      </c>
      <c r="E180" s="60"/>
      <c r="F180" s="60" t="s">
        <v>47</v>
      </c>
      <c r="G180" s="32" t="s">
        <v>47</v>
      </c>
      <c r="H180" s="64" t="s">
        <v>47</v>
      </c>
    </row>
    <row r="181">
      <c r="A181" s="10" t="s">
        <v>344</v>
      </c>
      <c r="B181" s="11" t="s">
        <v>47</v>
      </c>
      <c r="C181" s="11" t="s">
        <v>345</v>
      </c>
      <c r="D181" s="11" t="s">
        <v>346</v>
      </c>
      <c r="E181" s="11"/>
      <c r="F181" s="11" t="s">
        <v>65</v>
      </c>
      <c r="G181" s="50" t="n">
        <v>54.24195</v>
      </c>
      <c r="H181" s="83" t="n">
        <v>0</v>
      </c>
    </row>
    <row r="182">
      <c r="A182" s="54"/>
      <c r="D182" s="85" t="s">
        <v>566</v>
      </c>
      <c r="E182" s="85" t="s">
        <v>47</v>
      </c>
      <c r="F182" s="85"/>
      <c r="G182" s="86" t="n">
        <v>21.273</v>
      </c>
      <c r="H182" s="87"/>
    </row>
    <row r="183">
      <c r="A183" s="10" t="s">
        <v>47</v>
      </c>
      <c r="B183" s="11" t="s">
        <v>47</v>
      </c>
      <c r="C183" s="11" t="s">
        <v>47</v>
      </c>
      <c r="D183" s="85" t="s">
        <v>567</v>
      </c>
      <c r="E183" s="85" t="s">
        <v>47</v>
      </c>
      <c r="F183" s="85"/>
      <c r="G183" s="86" t="n">
        <v>20.9412</v>
      </c>
      <c r="H183" s="52" t="s">
        <v>47</v>
      </c>
    </row>
    <row r="184">
      <c r="A184" s="10" t="s">
        <v>47</v>
      </c>
      <c r="B184" s="11" t="s">
        <v>47</v>
      </c>
      <c r="C184" s="11" t="s">
        <v>47</v>
      </c>
      <c r="D184" s="85" t="s">
        <v>568</v>
      </c>
      <c r="E184" s="85" t="s">
        <v>47</v>
      </c>
      <c r="F184" s="85"/>
      <c r="G184" s="86" t="n">
        <v>16.107</v>
      </c>
      <c r="H184" s="52" t="s">
        <v>47</v>
      </c>
    </row>
    <row r="185">
      <c r="A185" s="10" t="s">
        <v>47</v>
      </c>
      <c r="B185" s="11" t="s">
        <v>47</v>
      </c>
      <c r="C185" s="11" t="s">
        <v>47</v>
      </c>
      <c r="D185" s="85" t="s">
        <v>569</v>
      </c>
      <c r="E185" s="85" t="s">
        <v>47</v>
      </c>
      <c r="F185" s="85"/>
      <c r="G185" s="86" t="n">
        <v>0.25995</v>
      </c>
      <c r="H185" s="52" t="s">
        <v>47</v>
      </c>
    </row>
    <row r="186">
      <c r="A186" s="10" t="s">
        <v>47</v>
      </c>
      <c r="B186" s="11" t="s">
        <v>47</v>
      </c>
      <c r="C186" s="11" t="s">
        <v>47</v>
      </c>
      <c r="D186" s="85" t="s">
        <v>570</v>
      </c>
      <c r="E186" s="85" t="s">
        <v>47</v>
      </c>
      <c r="F186" s="85"/>
      <c r="G186" s="86" t="n">
        <v>0.1305</v>
      </c>
      <c r="H186" s="52" t="s">
        <v>47</v>
      </c>
    </row>
    <row r="187">
      <c r="A187" s="10" t="s">
        <v>47</v>
      </c>
      <c r="B187" s="11" t="s">
        <v>47</v>
      </c>
      <c r="C187" s="11" t="s">
        <v>47</v>
      </c>
      <c r="D187" s="85" t="s">
        <v>571</v>
      </c>
      <c r="E187" s="85" t="s">
        <v>47</v>
      </c>
      <c r="F187" s="85"/>
      <c r="G187" s="86" t="n">
        <v>0.3303</v>
      </c>
      <c r="H187" s="52" t="s">
        <v>47</v>
      </c>
    </row>
    <row r="188">
      <c r="A188" s="10" t="s">
        <v>47</v>
      </c>
      <c r="B188" s="11" t="s">
        <v>47</v>
      </c>
      <c r="C188" s="11" t="s">
        <v>47</v>
      </c>
      <c r="D188" s="85" t="s">
        <v>515</v>
      </c>
      <c r="E188" s="85" t="s">
        <v>47</v>
      </c>
      <c r="F188" s="85"/>
      <c r="G188" s="86" t="n">
        <v>-4.8</v>
      </c>
      <c r="H188" s="52" t="s">
        <v>47</v>
      </c>
    </row>
    <row r="189">
      <c r="A189" s="10" t="s">
        <v>349</v>
      </c>
      <c r="B189" s="11" t="s">
        <v>47</v>
      </c>
      <c r="C189" s="11" t="s">
        <v>350</v>
      </c>
      <c r="D189" s="11" t="s">
        <v>351</v>
      </c>
      <c r="E189" s="11"/>
      <c r="F189" s="11" t="s">
        <v>65</v>
      </c>
      <c r="G189" s="50" t="n">
        <v>54.24195</v>
      </c>
      <c r="H189" s="83" t="n">
        <v>0</v>
      </c>
    </row>
    <row r="190">
      <c r="A190" s="10" t="s">
        <v>352</v>
      </c>
      <c r="B190" s="11" t="s">
        <v>47</v>
      </c>
      <c r="C190" s="11" t="s">
        <v>353</v>
      </c>
      <c r="D190" s="11" t="s">
        <v>354</v>
      </c>
      <c r="E190" s="11"/>
      <c r="F190" s="11" t="s">
        <v>53</v>
      </c>
      <c r="G190" s="50" t="n">
        <v>10</v>
      </c>
      <c r="H190" s="83" t="n">
        <v>0</v>
      </c>
    </row>
    <row r="191">
      <c r="A191" s="10" t="s">
        <v>355</v>
      </c>
      <c r="B191" s="11" t="s">
        <v>47</v>
      </c>
      <c r="C191" s="11" t="s">
        <v>356</v>
      </c>
      <c r="D191" s="11" t="s">
        <v>357</v>
      </c>
      <c r="E191" s="11"/>
      <c r="F191" s="11" t="s">
        <v>65</v>
      </c>
      <c r="G191" s="50" t="n">
        <v>54.24195</v>
      </c>
      <c r="H191" s="83" t="n">
        <v>0</v>
      </c>
    </row>
    <row r="192">
      <c r="A192" s="10" t="s">
        <v>358</v>
      </c>
      <c r="B192" s="11" t="s">
        <v>47</v>
      </c>
      <c r="C192" s="11" t="s">
        <v>359</v>
      </c>
      <c r="D192" s="11" t="s">
        <v>360</v>
      </c>
      <c r="E192" s="11"/>
      <c r="F192" s="11" t="s">
        <v>65</v>
      </c>
      <c r="G192" s="50" t="n">
        <v>54.24195</v>
      </c>
      <c r="H192" s="83" t="n">
        <v>0</v>
      </c>
    </row>
    <row r="193">
      <c r="A193" s="10" t="s">
        <v>361</v>
      </c>
      <c r="B193" s="11" t="s">
        <v>47</v>
      </c>
      <c r="C193" s="11" t="s">
        <v>362</v>
      </c>
      <c r="D193" s="11" t="s">
        <v>363</v>
      </c>
      <c r="E193" s="11"/>
      <c r="F193" s="11" t="s">
        <v>95</v>
      </c>
      <c r="G193" s="50" t="n">
        <v>10.75</v>
      </c>
      <c r="H193" s="83" t="n">
        <v>0</v>
      </c>
    </row>
    <row r="194">
      <c r="A194" s="54"/>
      <c r="D194" s="85" t="s">
        <v>572</v>
      </c>
      <c r="E194" s="85" t="s">
        <v>47</v>
      </c>
      <c r="F194" s="85"/>
      <c r="G194" s="86" t="n">
        <v>6.35</v>
      </c>
      <c r="H194" s="87"/>
    </row>
    <row r="195">
      <c r="A195" s="10" t="s">
        <v>47</v>
      </c>
      <c r="B195" s="11" t="s">
        <v>47</v>
      </c>
      <c r="C195" s="11" t="s">
        <v>47</v>
      </c>
      <c r="D195" s="85" t="s">
        <v>573</v>
      </c>
      <c r="E195" s="85" t="s">
        <v>47</v>
      </c>
      <c r="F195" s="85"/>
      <c r="G195" s="86" t="n">
        <v>4.4</v>
      </c>
      <c r="H195" s="52" t="s">
        <v>47</v>
      </c>
    </row>
    <row r="196">
      <c r="A196" s="10" t="s">
        <v>364</v>
      </c>
      <c r="B196" s="11" t="s">
        <v>47</v>
      </c>
      <c r="C196" s="11" t="s">
        <v>304</v>
      </c>
      <c r="D196" s="11" t="s">
        <v>305</v>
      </c>
      <c r="E196" s="11"/>
      <c r="F196" s="11" t="s">
        <v>65</v>
      </c>
      <c r="G196" s="50" t="n">
        <v>62.37824</v>
      </c>
      <c r="H196" s="83" t="n">
        <v>0</v>
      </c>
    </row>
    <row r="197">
      <c r="A197" s="54"/>
      <c r="D197" s="85" t="s">
        <v>574</v>
      </c>
      <c r="E197" s="85" t="s">
        <v>47</v>
      </c>
      <c r="F197" s="85"/>
      <c r="G197" s="86" t="n">
        <v>62.37824</v>
      </c>
      <c r="H197" s="87"/>
    </row>
    <row r="198">
      <c r="A198" s="10" t="s">
        <v>365</v>
      </c>
      <c r="B198" s="11" t="s">
        <v>47</v>
      </c>
      <c r="C198" s="11" t="s">
        <v>366</v>
      </c>
      <c r="D198" s="11" t="s">
        <v>367</v>
      </c>
      <c r="E198" s="11"/>
      <c r="F198" s="11" t="s">
        <v>272</v>
      </c>
      <c r="G198" s="50" t="n">
        <v>1.6875</v>
      </c>
      <c r="H198" s="83" t="n">
        <v>0</v>
      </c>
    </row>
    <row r="199">
      <c r="A199" s="84" t="s">
        <v>47</v>
      </c>
      <c r="B199" s="60" t="s">
        <v>47</v>
      </c>
      <c r="C199" s="60" t="s">
        <v>368</v>
      </c>
      <c r="D199" s="60" t="s">
        <v>369</v>
      </c>
      <c r="E199" s="60"/>
      <c r="F199" s="60" t="s">
        <v>47</v>
      </c>
      <c r="G199" s="32" t="s">
        <v>47</v>
      </c>
      <c r="H199" s="64" t="s">
        <v>47</v>
      </c>
    </row>
    <row r="200">
      <c r="A200" s="10" t="s">
        <v>370</v>
      </c>
      <c r="B200" s="11" t="s">
        <v>47</v>
      </c>
      <c r="C200" s="11" t="s">
        <v>371</v>
      </c>
      <c r="D200" s="11" t="s">
        <v>372</v>
      </c>
      <c r="E200" s="11"/>
      <c r="F200" s="11" t="s">
        <v>65</v>
      </c>
      <c r="G200" s="50" t="n">
        <v>14.75361</v>
      </c>
      <c r="H200" s="83" t="n">
        <v>0</v>
      </c>
    </row>
    <row r="201">
      <c r="A201" s="54"/>
      <c r="D201" s="85" t="s">
        <v>575</v>
      </c>
      <c r="E201" s="85" t="s">
        <v>576</v>
      </c>
      <c r="F201" s="85"/>
      <c r="G201" s="86" t="n">
        <v>4.8</v>
      </c>
      <c r="H201" s="87"/>
    </row>
    <row r="202">
      <c r="A202" s="10" t="s">
        <v>47</v>
      </c>
      <c r="B202" s="11" t="s">
        <v>47</v>
      </c>
      <c r="C202" s="11" t="s">
        <v>47</v>
      </c>
      <c r="D202" s="85" t="s">
        <v>577</v>
      </c>
      <c r="E202" s="85" t="s">
        <v>578</v>
      </c>
      <c r="F202" s="85"/>
      <c r="G202" s="86" t="n">
        <v>7.2</v>
      </c>
      <c r="H202" s="52" t="s">
        <v>47</v>
      </c>
    </row>
    <row r="203">
      <c r="A203" s="10" t="s">
        <v>47</v>
      </c>
      <c r="B203" s="11" t="s">
        <v>47</v>
      </c>
      <c r="C203" s="11" t="s">
        <v>47</v>
      </c>
      <c r="D203" s="85" t="s">
        <v>579</v>
      </c>
      <c r="E203" s="85" t="s">
        <v>580</v>
      </c>
      <c r="F203" s="85"/>
      <c r="G203" s="86" t="n">
        <v>2.75361</v>
      </c>
      <c r="H203" s="52" t="s">
        <v>47</v>
      </c>
    </row>
    <row r="204">
      <c r="A204" s="84" t="s">
        <v>47</v>
      </c>
      <c r="B204" s="60" t="s">
        <v>47</v>
      </c>
      <c r="C204" s="60" t="s">
        <v>374</v>
      </c>
      <c r="D204" s="60" t="s">
        <v>375</v>
      </c>
      <c r="E204" s="60"/>
      <c r="F204" s="60" t="s">
        <v>47</v>
      </c>
      <c r="G204" s="32" t="s">
        <v>47</v>
      </c>
      <c r="H204" s="64" t="s">
        <v>47</v>
      </c>
    </row>
    <row r="205">
      <c r="A205" s="10" t="s">
        <v>376</v>
      </c>
      <c r="B205" s="11" t="s">
        <v>47</v>
      </c>
      <c r="C205" s="11" t="s">
        <v>377</v>
      </c>
      <c r="D205" s="11" t="s">
        <v>378</v>
      </c>
      <c r="E205" s="11"/>
      <c r="F205" s="11" t="s">
        <v>65</v>
      </c>
      <c r="G205" s="50" t="n">
        <v>638.45529</v>
      </c>
      <c r="H205" s="83" t="n">
        <v>0</v>
      </c>
    </row>
    <row r="206">
      <c r="A206" s="54"/>
      <c r="D206" s="85" t="s">
        <v>581</v>
      </c>
      <c r="E206" s="85" t="s">
        <v>493</v>
      </c>
      <c r="F206" s="85"/>
      <c r="G206" s="86" t="n">
        <v>51.685</v>
      </c>
      <c r="H206" s="87"/>
    </row>
    <row r="207">
      <c r="A207" s="10" t="s">
        <v>47</v>
      </c>
      <c r="B207" s="11" t="s">
        <v>47</v>
      </c>
      <c r="C207" s="11" t="s">
        <v>47</v>
      </c>
      <c r="D207" s="85" t="s">
        <v>557</v>
      </c>
      <c r="E207" s="85" t="s">
        <v>47</v>
      </c>
      <c r="F207" s="85"/>
      <c r="G207" s="86" t="n">
        <v>26.59</v>
      </c>
      <c r="H207" s="52" t="s">
        <v>47</v>
      </c>
    </row>
    <row r="208">
      <c r="A208" s="10" t="s">
        <v>47</v>
      </c>
      <c r="B208" s="11" t="s">
        <v>47</v>
      </c>
      <c r="C208" s="11" t="s">
        <v>47</v>
      </c>
      <c r="D208" s="85" t="s">
        <v>582</v>
      </c>
      <c r="E208" s="85" t="s">
        <v>552</v>
      </c>
      <c r="F208" s="85"/>
      <c r="G208" s="86" t="n">
        <v>89.2304</v>
      </c>
      <c r="H208" s="52" t="s">
        <v>47</v>
      </c>
    </row>
    <row r="209">
      <c r="A209" s="10" t="s">
        <v>47</v>
      </c>
      <c r="B209" s="11" t="s">
        <v>47</v>
      </c>
      <c r="C209" s="11" t="s">
        <v>47</v>
      </c>
      <c r="D209" s="85" t="s">
        <v>558</v>
      </c>
      <c r="E209" s="85" t="s">
        <v>47</v>
      </c>
      <c r="F209" s="85"/>
      <c r="G209" s="86" t="n">
        <v>38.95</v>
      </c>
      <c r="H209" s="52" t="s">
        <v>47</v>
      </c>
    </row>
    <row r="210">
      <c r="A210" s="10" t="s">
        <v>47</v>
      </c>
      <c r="B210" s="11" t="s">
        <v>47</v>
      </c>
      <c r="C210" s="11" t="s">
        <v>47</v>
      </c>
      <c r="D210" s="85" t="s">
        <v>583</v>
      </c>
      <c r="E210" s="85" t="s">
        <v>523</v>
      </c>
      <c r="F210" s="85"/>
      <c r="G210" s="86" t="n">
        <v>87.99626</v>
      </c>
      <c r="H210" s="52" t="s">
        <v>47</v>
      </c>
    </row>
    <row r="211">
      <c r="A211" s="10" t="s">
        <v>47</v>
      </c>
      <c r="B211" s="11" t="s">
        <v>47</v>
      </c>
      <c r="C211" s="11" t="s">
        <v>47</v>
      </c>
      <c r="D211" s="85" t="s">
        <v>559</v>
      </c>
      <c r="E211" s="85" t="s">
        <v>47</v>
      </c>
      <c r="F211" s="85"/>
      <c r="G211" s="86" t="n">
        <v>51.72</v>
      </c>
      <c r="H211" s="52" t="s">
        <v>47</v>
      </c>
    </row>
    <row r="212">
      <c r="A212" s="10" t="s">
        <v>47</v>
      </c>
      <c r="B212" s="11" t="s">
        <v>47</v>
      </c>
      <c r="C212" s="11" t="s">
        <v>47</v>
      </c>
      <c r="D212" s="85" t="s">
        <v>584</v>
      </c>
      <c r="E212" s="85" t="s">
        <v>561</v>
      </c>
      <c r="F212" s="85"/>
      <c r="G212" s="86" t="n">
        <v>128.5632</v>
      </c>
      <c r="H212" s="52" t="s">
        <v>47</v>
      </c>
    </row>
    <row r="213">
      <c r="A213" s="10" t="s">
        <v>47</v>
      </c>
      <c r="B213" s="11" t="s">
        <v>47</v>
      </c>
      <c r="C213" s="11" t="s">
        <v>47</v>
      </c>
      <c r="D213" s="85" t="s">
        <v>560</v>
      </c>
      <c r="E213" s="85" t="s">
        <v>47</v>
      </c>
      <c r="F213" s="85"/>
      <c r="G213" s="86" t="n">
        <v>69.86</v>
      </c>
      <c r="H213" s="52" t="s">
        <v>47</v>
      </c>
    </row>
    <row r="214">
      <c r="A214" s="10" t="s">
        <v>47</v>
      </c>
      <c r="B214" s="11" t="s">
        <v>47</v>
      </c>
      <c r="C214" s="11" t="s">
        <v>47</v>
      </c>
      <c r="D214" s="85" t="s">
        <v>585</v>
      </c>
      <c r="E214" s="85" t="s">
        <v>525</v>
      </c>
      <c r="F214" s="85"/>
      <c r="G214" s="86" t="n">
        <v>93.86043</v>
      </c>
      <c r="H214" s="52" t="s">
        <v>47</v>
      </c>
    </row>
    <row r="215">
      <c r="A215" s="10" t="s">
        <v>380</v>
      </c>
      <c r="B215" s="11" t="s">
        <v>47</v>
      </c>
      <c r="C215" s="11" t="s">
        <v>381</v>
      </c>
      <c r="D215" s="11" t="s">
        <v>382</v>
      </c>
      <c r="E215" s="11"/>
      <c r="F215" s="11" t="s">
        <v>65</v>
      </c>
      <c r="G215" s="50" t="n">
        <v>638.45529</v>
      </c>
      <c r="H215" s="83" t="n">
        <v>0</v>
      </c>
    </row>
    <row r="216">
      <c r="A216" s="10" t="s">
        <v>383</v>
      </c>
      <c r="B216" s="11" t="s">
        <v>47</v>
      </c>
      <c r="C216" s="11" t="s">
        <v>384</v>
      </c>
      <c r="D216" s="11" t="s">
        <v>385</v>
      </c>
      <c r="E216" s="11"/>
      <c r="F216" s="11" t="s">
        <v>65</v>
      </c>
      <c r="G216" s="50" t="n">
        <v>211.45</v>
      </c>
      <c r="H216" s="83" t="n">
        <v>0</v>
      </c>
    </row>
    <row r="217">
      <c r="A217" s="54"/>
      <c r="D217" s="85" t="s">
        <v>586</v>
      </c>
      <c r="E217" s="85" t="s">
        <v>587</v>
      </c>
      <c r="F217" s="85"/>
      <c r="G217" s="86" t="n">
        <v>187.12</v>
      </c>
      <c r="H217" s="87"/>
    </row>
    <row r="218">
      <c r="A218" s="10" t="s">
        <v>47</v>
      </c>
      <c r="B218" s="11" t="s">
        <v>47</v>
      </c>
      <c r="C218" s="11" t="s">
        <v>47</v>
      </c>
      <c r="D218" s="85" t="s">
        <v>524</v>
      </c>
      <c r="E218" s="85" t="s">
        <v>525</v>
      </c>
      <c r="F218" s="85"/>
      <c r="G218" s="86" t="n">
        <v>24.33</v>
      </c>
      <c r="H218" s="52" t="s">
        <v>47</v>
      </c>
    </row>
    <row r="219">
      <c r="A219" s="84" t="s">
        <v>47</v>
      </c>
      <c r="B219" s="60" t="s">
        <v>47</v>
      </c>
      <c r="C219" s="60" t="s">
        <v>387</v>
      </c>
      <c r="D219" s="60" t="s">
        <v>388</v>
      </c>
      <c r="E219" s="60"/>
      <c r="F219" s="60" t="s">
        <v>47</v>
      </c>
      <c r="G219" s="32" t="s">
        <v>47</v>
      </c>
      <c r="H219" s="64" t="s">
        <v>47</v>
      </c>
    </row>
    <row r="220">
      <c r="A220" s="10" t="s">
        <v>389</v>
      </c>
      <c r="B220" s="11" t="s">
        <v>47</v>
      </c>
      <c r="C220" s="11" t="s">
        <v>390</v>
      </c>
      <c r="D220" s="11" t="s">
        <v>391</v>
      </c>
      <c r="E220" s="11"/>
      <c r="F220" s="11" t="s">
        <v>154</v>
      </c>
      <c r="G220" s="50" t="n">
        <v>1</v>
      </c>
      <c r="H220" s="83" t="n">
        <v>0</v>
      </c>
    </row>
    <row r="221">
      <c r="A221" s="10" t="s">
        <v>395</v>
      </c>
      <c r="B221" s="11" t="s">
        <v>47</v>
      </c>
      <c r="C221" s="11" t="s">
        <v>396</v>
      </c>
      <c r="D221" s="11" t="s">
        <v>397</v>
      </c>
      <c r="E221" s="11"/>
      <c r="F221" s="11" t="s">
        <v>154</v>
      </c>
      <c r="G221" s="50" t="n">
        <v>1</v>
      </c>
      <c r="H221" s="83" t="n">
        <v>0</v>
      </c>
    </row>
    <row r="222">
      <c r="A222" s="84" t="s">
        <v>47</v>
      </c>
      <c r="B222" s="60" t="s">
        <v>47</v>
      </c>
      <c r="C222" s="60" t="s">
        <v>389</v>
      </c>
      <c r="D222" s="60" t="s">
        <v>399</v>
      </c>
      <c r="E222" s="60"/>
      <c r="F222" s="60" t="s">
        <v>47</v>
      </c>
      <c r="G222" s="32" t="s">
        <v>47</v>
      </c>
      <c r="H222" s="64" t="s">
        <v>47</v>
      </c>
    </row>
    <row r="223">
      <c r="A223" s="10" t="s">
        <v>400</v>
      </c>
      <c r="B223" s="11" t="s">
        <v>47</v>
      </c>
      <c r="C223" s="11" t="s">
        <v>401</v>
      </c>
      <c r="D223" s="11" t="s">
        <v>402</v>
      </c>
      <c r="E223" s="11"/>
      <c r="F223" s="11" t="s">
        <v>403</v>
      </c>
      <c r="G223" s="50" t="n">
        <v>24</v>
      </c>
      <c r="H223" s="83" t="n">
        <v>0</v>
      </c>
    </row>
    <row r="224">
      <c r="A224" s="54"/>
      <c r="D224" s="85" t="s">
        <v>588</v>
      </c>
      <c r="E224" s="85" t="s">
        <v>589</v>
      </c>
      <c r="F224" s="85"/>
      <c r="G224" s="86" t="n">
        <v>16</v>
      </c>
      <c r="H224" s="87"/>
    </row>
    <row r="225">
      <c r="A225" s="10" t="s">
        <v>47</v>
      </c>
      <c r="B225" s="11" t="s">
        <v>47</v>
      </c>
      <c r="C225" s="11" t="s">
        <v>47</v>
      </c>
      <c r="D225" s="85" t="s">
        <v>88</v>
      </c>
      <c r="E225" s="85" t="s">
        <v>590</v>
      </c>
      <c r="F225" s="85"/>
      <c r="G225" s="86" t="n">
        <v>8</v>
      </c>
      <c r="H225" s="52" t="s">
        <v>47</v>
      </c>
    </row>
    <row r="226">
      <c r="A226" s="84" t="s">
        <v>47</v>
      </c>
      <c r="B226" s="60" t="s">
        <v>47</v>
      </c>
      <c r="C226" s="60" t="s">
        <v>407</v>
      </c>
      <c r="D226" s="60" t="s">
        <v>408</v>
      </c>
      <c r="E226" s="60"/>
      <c r="F226" s="60" t="s">
        <v>47</v>
      </c>
      <c r="G226" s="32" t="s">
        <v>47</v>
      </c>
      <c r="H226" s="64" t="s">
        <v>47</v>
      </c>
    </row>
    <row r="227">
      <c r="A227" s="10" t="s">
        <v>409</v>
      </c>
      <c r="B227" s="11" t="s">
        <v>47</v>
      </c>
      <c r="C227" s="11" t="s">
        <v>410</v>
      </c>
      <c r="D227" s="11" t="s">
        <v>411</v>
      </c>
      <c r="E227" s="11"/>
      <c r="F227" s="11" t="s">
        <v>65</v>
      </c>
      <c r="G227" s="50" t="n">
        <v>55</v>
      </c>
      <c r="H227" s="83" t="n">
        <v>0</v>
      </c>
    </row>
    <row r="228">
      <c r="A228" s="84" t="s">
        <v>47</v>
      </c>
      <c r="B228" s="60" t="s">
        <v>47</v>
      </c>
      <c r="C228" s="60" t="s">
        <v>413</v>
      </c>
      <c r="D228" s="60" t="s">
        <v>414</v>
      </c>
      <c r="E228" s="60"/>
      <c r="F228" s="60" t="s">
        <v>47</v>
      </c>
      <c r="G228" s="32" t="s">
        <v>47</v>
      </c>
      <c r="H228" s="64" t="s">
        <v>47</v>
      </c>
    </row>
    <row r="229">
      <c r="A229" s="10" t="s">
        <v>407</v>
      </c>
      <c r="B229" s="11" t="s">
        <v>47</v>
      </c>
      <c r="C229" s="11" t="s">
        <v>415</v>
      </c>
      <c r="D229" s="11" t="s">
        <v>416</v>
      </c>
      <c r="E229" s="11"/>
      <c r="F229" s="11" t="s">
        <v>65</v>
      </c>
      <c r="G229" s="50" t="n">
        <v>50.92</v>
      </c>
      <c r="H229" s="83" t="n">
        <v>0</v>
      </c>
    </row>
    <row r="230">
      <c r="A230" s="54"/>
      <c r="D230" s="85" t="s">
        <v>591</v>
      </c>
      <c r="E230" s="85" t="s">
        <v>47</v>
      </c>
      <c r="F230" s="85"/>
      <c r="G230" s="86" t="n">
        <v>50.92</v>
      </c>
      <c r="H230" s="87"/>
    </row>
    <row r="231">
      <c r="A231" s="84" t="s">
        <v>47</v>
      </c>
      <c r="B231" s="60" t="s">
        <v>47</v>
      </c>
      <c r="C231" s="60" t="s">
        <v>418</v>
      </c>
      <c r="D231" s="60" t="s">
        <v>419</v>
      </c>
      <c r="E231" s="60"/>
      <c r="F231" s="60" t="s">
        <v>47</v>
      </c>
      <c r="G231" s="32" t="s">
        <v>47</v>
      </c>
      <c r="H231" s="64" t="s">
        <v>47</v>
      </c>
    </row>
    <row r="232">
      <c r="A232" s="10" t="s">
        <v>413</v>
      </c>
      <c r="B232" s="11" t="s">
        <v>47</v>
      </c>
      <c r="C232" s="11" t="s">
        <v>420</v>
      </c>
      <c r="D232" s="11" t="s">
        <v>421</v>
      </c>
      <c r="E232" s="11"/>
      <c r="F232" s="11" t="s">
        <v>65</v>
      </c>
      <c r="G232" s="50" t="n">
        <v>20.64894</v>
      </c>
      <c r="H232" s="83" t="n">
        <v>0</v>
      </c>
    </row>
    <row r="233">
      <c r="A233" s="54"/>
      <c r="D233" s="85" t="s">
        <v>592</v>
      </c>
      <c r="E233" s="85" t="s">
        <v>593</v>
      </c>
      <c r="F233" s="85"/>
      <c r="G233" s="86" t="n">
        <v>4.89572</v>
      </c>
      <c r="H233" s="87"/>
    </row>
    <row r="234">
      <c r="A234" s="10" t="s">
        <v>47</v>
      </c>
      <c r="B234" s="11" t="s">
        <v>47</v>
      </c>
      <c r="C234" s="11" t="s">
        <v>47</v>
      </c>
      <c r="D234" s="85" t="s">
        <v>594</v>
      </c>
      <c r="E234" s="85" t="s">
        <v>47</v>
      </c>
      <c r="F234" s="85"/>
      <c r="G234" s="86" t="n">
        <v>-2.4</v>
      </c>
      <c r="H234" s="52" t="s">
        <v>47</v>
      </c>
    </row>
    <row r="235">
      <c r="A235" s="10" t="s">
        <v>47</v>
      </c>
      <c r="B235" s="11" t="s">
        <v>47</v>
      </c>
      <c r="C235" s="11" t="s">
        <v>47</v>
      </c>
      <c r="D235" s="85" t="s">
        <v>595</v>
      </c>
      <c r="E235" s="85" t="s">
        <v>47</v>
      </c>
      <c r="F235" s="85"/>
      <c r="G235" s="86" t="n">
        <v>3.42672</v>
      </c>
      <c r="H235" s="52" t="s">
        <v>47</v>
      </c>
    </row>
    <row r="236">
      <c r="A236" s="10" t="s">
        <v>47</v>
      </c>
      <c r="B236" s="11" t="s">
        <v>47</v>
      </c>
      <c r="C236" s="11" t="s">
        <v>47</v>
      </c>
      <c r="D236" s="85" t="s">
        <v>596</v>
      </c>
      <c r="E236" s="85" t="s">
        <v>47</v>
      </c>
      <c r="F236" s="85"/>
      <c r="G236" s="86" t="n">
        <v>9.63325</v>
      </c>
      <c r="H236" s="52" t="s">
        <v>47</v>
      </c>
    </row>
    <row r="237">
      <c r="A237" s="10" t="s">
        <v>47</v>
      </c>
      <c r="B237" s="11" t="s">
        <v>47</v>
      </c>
      <c r="C237" s="11" t="s">
        <v>47</v>
      </c>
      <c r="D237" s="85" t="s">
        <v>594</v>
      </c>
      <c r="E237" s="85" t="s">
        <v>47</v>
      </c>
      <c r="F237" s="85"/>
      <c r="G237" s="86" t="n">
        <v>-2.4</v>
      </c>
      <c r="H237" s="52" t="s">
        <v>47</v>
      </c>
    </row>
    <row r="238">
      <c r="A238" s="10" t="s">
        <v>47</v>
      </c>
      <c r="B238" s="11" t="s">
        <v>47</v>
      </c>
      <c r="C238" s="11" t="s">
        <v>47</v>
      </c>
      <c r="D238" s="85" t="s">
        <v>597</v>
      </c>
      <c r="E238" s="85" t="s">
        <v>47</v>
      </c>
      <c r="F238" s="85"/>
      <c r="G238" s="86" t="n">
        <v>5.33625</v>
      </c>
      <c r="H238" s="52" t="s">
        <v>47</v>
      </c>
    </row>
    <row r="239">
      <c r="A239" s="10" t="s">
        <v>47</v>
      </c>
      <c r="B239" s="11" t="s">
        <v>47</v>
      </c>
      <c r="C239" s="11" t="s">
        <v>47</v>
      </c>
      <c r="D239" s="85" t="s">
        <v>598</v>
      </c>
      <c r="E239" s="85" t="s">
        <v>47</v>
      </c>
      <c r="F239" s="85"/>
      <c r="G239" s="86" t="n">
        <v>-1.2</v>
      </c>
      <c r="H239" s="52" t="s">
        <v>47</v>
      </c>
    </row>
    <row r="240">
      <c r="A240" s="10" t="s">
        <v>47</v>
      </c>
      <c r="B240" s="11" t="s">
        <v>47</v>
      </c>
      <c r="C240" s="11" t="s">
        <v>47</v>
      </c>
      <c r="D240" s="85" t="s">
        <v>599</v>
      </c>
      <c r="E240" s="85" t="s">
        <v>600</v>
      </c>
      <c r="F240" s="85"/>
      <c r="G240" s="86" t="n">
        <v>0.26</v>
      </c>
      <c r="H240" s="52" t="s">
        <v>47</v>
      </c>
    </row>
    <row r="241">
      <c r="A241" s="10" t="s">
        <v>47</v>
      </c>
      <c r="B241" s="11" t="s">
        <v>47</v>
      </c>
      <c r="C241" s="11" t="s">
        <v>47</v>
      </c>
      <c r="D241" s="85" t="s">
        <v>601</v>
      </c>
      <c r="E241" s="85" t="s">
        <v>47</v>
      </c>
      <c r="F241" s="85"/>
      <c r="G241" s="86" t="n">
        <v>0.397</v>
      </c>
      <c r="H241" s="52" t="s">
        <v>47</v>
      </c>
    </row>
    <row r="242">
      <c r="A242" s="10" t="s">
        <v>47</v>
      </c>
      <c r="B242" s="11" t="s">
        <v>47</v>
      </c>
      <c r="C242" s="11" t="s">
        <v>47</v>
      </c>
      <c r="D242" s="85" t="s">
        <v>602</v>
      </c>
      <c r="E242" s="85" t="s">
        <v>603</v>
      </c>
      <c r="F242" s="85"/>
      <c r="G242" s="86" t="n">
        <v>1.8</v>
      </c>
      <c r="H242" s="52" t="s">
        <v>47</v>
      </c>
    </row>
    <row r="243">
      <c r="A243" s="10" t="s">
        <v>47</v>
      </c>
      <c r="B243" s="11" t="s">
        <v>47</v>
      </c>
      <c r="C243" s="11" t="s">
        <v>47</v>
      </c>
      <c r="D243" s="85" t="s">
        <v>604</v>
      </c>
      <c r="E243" s="85" t="s">
        <v>47</v>
      </c>
      <c r="F243" s="85"/>
      <c r="G243" s="86" t="n">
        <v>0.9</v>
      </c>
      <c r="H243" s="52" t="s">
        <v>47</v>
      </c>
    </row>
    <row r="244">
      <c r="A244" s="10" t="s">
        <v>418</v>
      </c>
      <c r="B244" s="11" t="s">
        <v>47</v>
      </c>
      <c r="C244" s="11" t="s">
        <v>423</v>
      </c>
      <c r="D244" s="11" t="s">
        <v>424</v>
      </c>
      <c r="E244" s="11"/>
      <c r="F244" s="11" t="s">
        <v>65</v>
      </c>
      <c r="G244" s="50" t="n">
        <v>23.37</v>
      </c>
      <c r="H244" s="83" t="n">
        <v>0</v>
      </c>
    </row>
    <row r="245">
      <c r="A245" s="54"/>
      <c r="D245" s="85" t="s">
        <v>605</v>
      </c>
      <c r="E245" s="85" t="s">
        <v>525</v>
      </c>
      <c r="F245" s="85"/>
      <c r="G245" s="86" t="n">
        <v>23.37</v>
      </c>
      <c r="H245" s="87"/>
    </row>
    <row r="246">
      <c r="A246" s="10" t="s">
        <v>426</v>
      </c>
      <c r="B246" s="11" t="s">
        <v>47</v>
      </c>
      <c r="C246" s="11" t="s">
        <v>427</v>
      </c>
      <c r="D246" s="11" t="s">
        <v>428</v>
      </c>
      <c r="E246" s="11"/>
      <c r="F246" s="11" t="s">
        <v>95</v>
      </c>
      <c r="G246" s="50" t="n">
        <v>11.106</v>
      </c>
      <c r="H246" s="83" t="n">
        <v>0</v>
      </c>
    </row>
    <row r="247">
      <c r="A247" s="54"/>
      <c r="D247" s="85" t="s">
        <v>606</v>
      </c>
      <c r="E247" s="85" t="s">
        <v>47</v>
      </c>
      <c r="F247" s="85"/>
      <c r="G247" s="86" t="n">
        <v>9.106</v>
      </c>
      <c r="H247" s="87"/>
    </row>
    <row r="248">
      <c r="A248" s="10" t="s">
        <v>47</v>
      </c>
      <c r="B248" s="11" t="s">
        <v>47</v>
      </c>
      <c r="C248" s="11" t="s">
        <v>47</v>
      </c>
      <c r="D248" s="85" t="s">
        <v>607</v>
      </c>
      <c r="E248" s="85" t="s">
        <v>47</v>
      </c>
      <c r="F248" s="85"/>
      <c r="G248" s="86" t="n">
        <v>2</v>
      </c>
      <c r="H248" s="52" t="s">
        <v>47</v>
      </c>
    </row>
    <row r="249">
      <c r="A249" s="10" t="s">
        <v>429</v>
      </c>
      <c r="B249" s="11" t="s">
        <v>47</v>
      </c>
      <c r="C249" s="11" t="s">
        <v>430</v>
      </c>
      <c r="D249" s="11" t="s">
        <v>431</v>
      </c>
      <c r="E249" s="11"/>
      <c r="F249" s="11" t="s">
        <v>65</v>
      </c>
      <c r="G249" s="50" t="n">
        <v>9.6</v>
      </c>
      <c r="H249" s="83" t="n">
        <v>0</v>
      </c>
    </row>
    <row r="250">
      <c r="A250" s="54"/>
      <c r="D250" s="85" t="s">
        <v>608</v>
      </c>
      <c r="E250" s="85" t="s">
        <v>47</v>
      </c>
      <c r="F250" s="85"/>
      <c r="G250" s="86" t="n">
        <v>9.6</v>
      </c>
      <c r="H250" s="87"/>
    </row>
    <row r="251">
      <c r="A251" s="10" t="s">
        <v>432</v>
      </c>
      <c r="B251" s="11" t="s">
        <v>47</v>
      </c>
      <c r="C251" s="11" t="s">
        <v>433</v>
      </c>
      <c r="D251" s="11" t="s">
        <v>434</v>
      </c>
      <c r="E251" s="11"/>
      <c r="F251" s="11" t="s">
        <v>65</v>
      </c>
      <c r="G251" s="50" t="n">
        <v>2.51</v>
      </c>
      <c r="H251" s="83" t="n">
        <v>0</v>
      </c>
    </row>
    <row r="252">
      <c r="A252" s="54"/>
      <c r="D252" s="85" t="s">
        <v>609</v>
      </c>
      <c r="E252" s="85" t="s">
        <v>47</v>
      </c>
      <c r="F252" s="85"/>
      <c r="G252" s="86" t="n">
        <v>2.51</v>
      </c>
      <c r="H252" s="87"/>
    </row>
    <row r="253">
      <c r="A253" s="10" t="s">
        <v>435</v>
      </c>
      <c r="B253" s="11" t="s">
        <v>47</v>
      </c>
      <c r="C253" s="11" t="s">
        <v>436</v>
      </c>
      <c r="D253" s="11" t="s">
        <v>437</v>
      </c>
      <c r="E253" s="11"/>
      <c r="F253" s="11" t="s">
        <v>65</v>
      </c>
      <c r="G253" s="50" t="n">
        <v>1.32</v>
      </c>
      <c r="H253" s="83" t="n">
        <v>0</v>
      </c>
    </row>
    <row r="254">
      <c r="A254" s="54"/>
      <c r="D254" s="85" t="s">
        <v>610</v>
      </c>
      <c r="E254" s="85" t="s">
        <v>611</v>
      </c>
      <c r="F254" s="85"/>
      <c r="G254" s="86" t="n">
        <v>0.52</v>
      </c>
      <c r="H254" s="87"/>
    </row>
    <row r="255">
      <c r="A255" s="10" t="s">
        <v>47</v>
      </c>
      <c r="B255" s="11" t="s">
        <v>47</v>
      </c>
      <c r="C255" s="11" t="s">
        <v>47</v>
      </c>
      <c r="D255" s="85" t="s">
        <v>612</v>
      </c>
      <c r="E255" s="85" t="s">
        <v>47</v>
      </c>
      <c r="F255" s="85"/>
      <c r="G255" s="86" t="n">
        <v>0.8</v>
      </c>
      <c r="H255" s="52" t="s">
        <v>47</v>
      </c>
    </row>
    <row r="256">
      <c r="A256" s="10" t="s">
        <v>438</v>
      </c>
      <c r="B256" s="11" t="s">
        <v>47</v>
      </c>
      <c r="C256" s="11" t="s">
        <v>439</v>
      </c>
      <c r="D256" s="11" t="s">
        <v>440</v>
      </c>
      <c r="E256" s="11"/>
      <c r="F256" s="11" t="s">
        <v>53</v>
      </c>
      <c r="G256" s="50" t="n">
        <v>10</v>
      </c>
      <c r="H256" s="83" t="n">
        <v>0</v>
      </c>
    </row>
    <row r="257">
      <c r="A257" s="54"/>
      <c r="D257" s="85" t="s">
        <v>96</v>
      </c>
      <c r="E257" s="85" t="s">
        <v>47</v>
      </c>
      <c r="F257" s="85"/>
      <c r="G257" s="86" t="n">
        <v>10</v>
      </c>
      <c r="H257" s="87"/>
    </row>
    <row r="258">
      <c r="A258" s="10" t="s">
        <v>441</v>
      </c>
      <c r="B258" s="11" t="s">
        <v>47</v>
      </c>
      <c r="C258" s="11" t="s">
        <v>442</v>
      </c>
      <c r="D258" s="11" t="s">
        <v>443</v>
      </c>
      <c r="E258" s="11"/>
      <c r="F258" s="11" t="s">
        <v>65</v>
      </c>
      <c r="G258" s="50" t="n">
        <v>23.37</v>
      </c>
      <c r="H258" s="83" t="n">
        <v>0</v>
      </c>
    </row>
    <row r="259">
      <c r="A259" s="54"/>
      <c r="D259" s="85" t="s">
        <v>605</v>
      </c>
      <c r="E259" s="85" t="s">
        <v>525</v>
      </c>
      <c r="F259" s="85"/>
      <c r="G259" s="86" t="n">
        <v>23.37</v>
      </c>
      <c r="H259" s="87"/>
    </row>
    <row r="260">
      <c r="A260" s="10" t="s">
        <v>444</v>
      </c>
      <c r="B260" s="11" t="s">
        <v>47</v>
      </c>
      <c r="C260" s="11" t="s">
        <v>445</v>
      </c>
      <c r="D260" s="11" t="s">
        <v>446</v>
      </c>
      <c r="E260" s="11"/>
      <c r="F260" s="11" t="s">
        <v>129</v>
      </c>
      <c r="G260" s="50" t="n">
        <v>5</v>
      </c>
      <c r="H260" s="83" t="n">
        <v>0</v>
      </c>
    </row>
    <row r="261">
      <c r="A261" s="54"/>
      <c r="D261" s="85" t="s">
        <v>532</v>
      </c>
      <c r="E261" s="85" t="s">
        <v>613</v>
      </c>
      <c r="F261" s="85"/>
      <c r="G261" s="86" t="n">
        <v>5</v>
      </c>
      <c r="H261" s="87"/>
    </row>
    <row r="262">
      <c r="A262" s="84" t="s">
        <v>47</v>
      </c>
      <c r="B262" s="60" t="s">
        <v>47</v>
      </c>
      <c r="C262" s="60" t="s">
        <v>426</v>
      </c>
      <c r="D262" s="60" t="s">
        <v>448</v>
      </c>
      <c r="E262" s="60"/>
      <c r="F262" s="60" t="s">
        <v>47</v>
      </c>
      <c r="G262" s="32" t="s">
        <v>47</v>
      </c>
      <c r="H262" s="64" t="s">
        <v>47</v>
      </c>
    </row>
    <row r="263">
      <c r="A263" s="10" t="s">
        <v>449</v>
      </c>
      <c r="B263" s="11" t="s">
        <v>47</v>
      </c>
      <c r="C263" s="11" t="s">
        <v>450</v>
      </c>
      <c r="D263" s="11" t="s">
        <v>451</v>
      </c>
      <c r="E263" s="11"/>
      <c r="F263" s="11" t="s">
        <v>65</v>
      </c>
      <c r="G263" s="50" t="n">
        <v>5</v>
      </c>
      <c r="H263" s="83" t="n">
        <v>0</v>
      </c>
    </row>
    <row r="264">
      <c r="A264" s="54"/>
      <c r="D264" s="85" t="s">
        <v>74</v>
      </c>
      <c r="E264" s="85" t="s">
        <v>614</v>
      </c>
      <c r="F264" s="85"/>
      <c r="G264" s="86" t="n">
        <v>5</v>
      </c>
      <c r="H264" s="87"/>
    </row>
    <row r="265">
      <c r="A265" s="10" t="s">
        <v>453</v>
      </c>
      <c r="B265" s="11" t="s">
        <v>47</v>
      </c>
      <c r="C265" s="11" t="s">
        <v>454</v>
      </c>
      <c r="D265" s="11" t="s">
        <v>455</v>
      </c>
      <c r="E265" s="11"/>
      <c r="F265" s="11" t="s">
        <v>65</v>
      </c>
      <c r="G265" s="50" t="n">
        <v>70.374</v>
      </c>
      <c r="H265" s="83" t="n">
        <v>0</v>
      </c>
    </row>
    <row r="266">
      <c r="A266" s="54"/>
      <c r="D266" s="85" t="s">
        <v>615</v>
      </c>
      <c r="E266" s="85" t="s">
        <v>47</v>
      </c>
      <c r="F266" s="85"/>
      <c r="G266" s="86" t="n">
        <v>14.948</v>
      </c>
      <c r="H266" s="87"/>
    </row>
    <row r="267">
      <c r="A267" s="10" t="s">
        <v>47</v>
      </c>
      <c r="B267" s="11" t="s">
        <v>47</v>
      </c>
      <c r="C267" s="11" t="s">
        <v>47</v>
      </c>
      <c r="D267" s="85" t="s">
        <v>616</v>
      </c>
      <c r="E267" s="85" t="s">
        <v>47</v>
      </c>
      <c r="F267" s="85"/>
      <c r="G267" s="86" t="n">
        <v>-3.6</v>
      </c>
      <c r="H267" s="52" t="s">
        <v>47</v>
      </c>
    </row>
    <row r="268">
      <c r="A268" s="10" t="s">
        <v>47</v>
      </c>
      <c r="B268" s="11" t="s">
        <v>47</v>
      </c>
      <c r="C268" s="11" t="s">
        <v>47</v>
      </c>
      <c r="D268" s="85" t="s">
        <v>617</v>
      </c>
      <c r="E268" s="85" t="s">
        <v>47</v>
      </c>
      <c r="F268" s="85"/>
      <c r="G268" s="86" t="n">
        <v>8.018</v>
      </c>
      <c r="H268" s="52" t="s">
        <v>47</v>
      </c>
    </row>
    <row r="269">
      <c r="A269" s="10" t="s">
        <v>47</v>
      </c>
      <c r="B269" s="11" t="s">
        <v>47</v>
      </c>
      <c r="C269" s="11" t="s">
        <v>47</v>
      </c>
      <c r="D269" s="85" t="s">
        <v>598</v>
      </c>
      <c r="E269" s="85" t="s">
        <v>47</v>
      </c>
      <c r="F269" s="85"/>
      <c r="G269" s="86" t="n">
        <v>-1.2</v>
      </c>
      <c r="H269" s="52" t="s">
        <v>47</v>
      </c>
    </row>
    <row r="270">
      <c r="A270" s="10" t="s">
        <v>47</v>
      </c>
      <c r="B270" s="11" t="s">
        <v>47</v>
      </c>
      <c r="C270" s="11" t="s">
        <v>47</v>
      </c>
      <c r="D270" s="85" t="s">
        <v>618</v>
      </c>
      <c r="E270" s="85" t="s">
        <v>47</v>
      </c>
      <c r="F270" s="85"/>
      <c r="G270" s="86" t="n">
        <v>8.052</v>
      </c>
      <c r="H270" s="52" t="s">
        <v>47</v>
      </c>
    </row>
    <row r="271">
      <c r="A271" s="10" t="s">
        <v>47</v>
      </c>
      <c r="B271" s="11" t="s">
        <v>47</v>
      </c>
      <c r="C271" s="11" t="s">
        <v>47</v>
      </c>
      <c r="D271" s="85" t="s">
        <v>598</v>
      </c>
      <c r="E271" s="85" t="s">
        <v>47</v>
      </c>
      <c r="F271" s="85"/>
      <c r="G271" s="86" t="n">
        <v>-1.2</v>
      </c>
      <c r="H271" s="52" t="s">
        <v>47</v>
      </c>
    </row>
    <row r="272">
      <c r="A272" s="10" t="s">
        <v>47</v>
      </c>
      <c r="B272" s="11" t="s">
        <v>47</v>
      </c>
      <c r="C272" s="11" t="s">
        <v>47</v>
      </c>
      <c r="D272" s="85" t="s">
        <v>619</v>
      </c>
      <c r="E272" s="85" t="s">
        <v>47</v>
      </c>
      <c r="F272" s="85"/>
      <c r="G272" s="86" t="n">
        <v>11.172</v>
      </c>
      <c r="H272" s="52" t="s">
        <v>47</v>
      </c>
    </row>
    <row r="273">
      <c r="A273" s="10" t="s">
        <v>47</v>
      </c>
      <c r="B273" s="11" t="s">
        <v>47</v>
      </c>
      <c r="C273" s="11" t="s">
        <v>47</v>
      </c>
      <c r="D273" s="85" t="s">
        <v>594</v>
      </c>
      <c r="E273" s="85" t="s">
        <v>47</v>
      </c>
      <c r="F273" s="85"/>
      <c r="G273" s="86" t="n">
        <v>-2.4</v>
      </c>
      <c r="H273" s="52" t="s">
        <v>47</v>
      </c>
    </row>
    <row r="274">
      <c r="A274" s="10" t="s">
        <v>47</v>
      </c>
      <c r="B274" s="11" t="s">
        <v>47</v>
      </c>
      <c r="C274" s="11" t="s">
        <v>47</v>
      </c>
      <c r="D274" s="85" t="s">
        <v>620</v>
      </c>
      <c r="E274" s="85" t="s">
        <v>47</v>
      </c>
      <c r="F274" s="85"/>
      <c r="G274" s="86" t="n">
        <v>11.448</v>
      </c>
      <c r="H274" s="52" t="s">
        <v>47</v>
      </c>
    </row>
    <row r="275">
      <c r="A275" s="10" t="s">
        <v>47</v>
      </c>
      <c r="B275" s="11" t="s">
        <v>47</v>
      </c>
      <c r="C275" s="11" t="s">
        <v>47</v>
      </c>
      <c r="D275" s="85" t="s">
        <v>594</v>
      </c>
      <c r="E275" s="85" t="s">
        <v>47</v>
      </c>
      <c r="F275" s="85"/>
      <c r="G275" s="86" t="n">
        <v>-2.4</v>
      </c>
      <c r="H275" s="52" t="s">
        <v>47</v>
      </c>
    </row>
    <row r="276">
      <c r="A276" s="10" t="s">
        <v>47</v>
      </c>
      <c r="B276" s="11" t="s">
        <v>47</v>
      </c>
      <c r="C276" s="11" t="s">
        <v>47</v>
      </c>
      <c r="D276" s="85" t="s">
        <v>621</v>
      </c>
      <c r="E276" s="85" t="s">
        <v>47</v>
      </c>
      <c r="F276" s="85"/>
      <c r="G276" s="86" t="n">
        <v>9.896</v>
      </c>
      <c r="H276" s="52" t="s">
        <v>47</v>
      </c>
    </row>
    <row r="277">
      <c r="A277" s="10" t="s">
        <v>47</v>
      </c>
      <c r="B277" s="11" t="s">
        <v>47</v>
      </c>
      <c r="C277" s="11" t="s">
        <v>47</v>
      </c>
      <c r="D277" s="85" t="s">
        <v>598</v>
      </c>
      <c r="E277" s="85" t="s">
        <v>47</v>
      </c>
      <c r="F277" s="85"/>
      <c r="G277" s="86" t="n">
        <v>-1.2</v>
      </c>
      <c r="H277" s="52" t="s">
        <v>47</v>
      </c>
    </row>
    <row r="278">
      <c r="A278" s="10" t="s">
        <v>47</v>
      </c>
      <c r="B278" s="11" t="s">
        <v>47</v>
      </c>
      <c r="C278" s="11" t="s">
        <v>47</v>
      </c>
      <c r="D278" s="85" t="s">
        <v>622</v>
      </c>
      <c r="E278" s="85" t="s">
        <v>47</v>
      </c>
      <c r="F278" s="85"/>
      <c r="G278" s="86" t="n">
        <v>11.74</v>
      </c>
      <c r="H278" s="52" t="s">
        <v>47</v>
      </c>
    </row>
    <row r="279">
      <c r="A279" s="10" t="s">
        <v>47</v>
      </c>
      <c r="B279" s="11" t="s">
        <v>47</v>
      </c>
      <c r="C279" s="11" t="s">
        <v>47</v>
      </c>
      <c r="D279" s="85" t="s">
        <v>594</v>
      </c>
      <c r="E279" s="85" t="s">
        <v>47</v>
      </c>
      <c r="F279" s="85"/>
      <c r="G279" s="86" t="n">
        <v>-2.4</v>
      </c>
      <c r="H279" s="52" t="s">
        <v>47</v>
      </c>
    </row>
    <row r="280">
      <c r="A280" s="10" t="s">
        <v>47</v>
      </c>
      <c r="B280" s="11" t="s">
        <v>47</v>
      </c>
      <c r="C280" s="11" t="s">
        <v>47</v>
      </c>
      <c r="D280" s="85" t="s">
        <v>623</v>
      </c>
      <c r="E280" s="85" t="s">
        <v>47</v>
      </c>
      <c r="F280" s="85"/>
      <c r="G280" s="86" t="n">
        <v>10.7</v>
      </c>
      <c r="H280" s="52" t="s">
        <v>47</v>
      </c>
    </row>
    <row r="281">
      <c r="A281" s="10" t="s">
        <v>47</v>
      </c>
      <c r="B281" s="11" t="s">
        <v>47</v>
      </c>
      <c r="C281" s="11" t="s">
        <v>47</v>
      </c>
      <c r="D281" s="85" t="s">
        <v>598</v>
      </c>
      <c r="E281" s="85" t="s">
        <v>47</v>
      </c>
      <c r="F281" s="85"/>
      <c r="G281" s="86" t="n">
        <v>-1.2</v>
      </c>
      <c r="H281" s="52" t="s">
        <v>47</v>
      </c>
    </row>
    <row r="282">
      <c r="A282" s="84" t="s">
        <v>47</v>
      </c>
      <c r="B282" s="60" t="s">
        <v>47</v>
      </c>
      <c r="C282" s="60" t="s">
        <v>456</v>
      </c>
      <c r="D282" s="60" t="s">
        <v>457</v>
      </c>
      <c r="E282" s="60"/>
      <c r="F282" s="60" t="s">
        <v>47</v>
      </c>
      <c r="G282" s="32" t="s">
        <v>47</v>
      </c>
      <c r="H282" s="64" t="s">
        <v>47</v>
      </c>
    </row>
    <row r="283">
      <c r="A283" s="10" t="s">
        <v>458</v>
      </c>
      <c r="B283" s="11" t="s">
        <v>47</v>
      </c>
      <c r="C283" s="11" t="s">
        <v>459</v>
      </c>
      <c r="D283" s="11" t="s">
        <v>460</v>
      </c>
      <c r="E283" s="11"/>
      <c r="F283" s="11" t="s">
        <v>272</v>
      </c>
      <c r="G283" s="50" t="n">
        <v>22.2933</v>
      </c>
      <c r="H283" s="83" t="n">
        <v>0</v>
      </c>
    </row>
    <row r="284">
      <c r="A284" s="54"/>
      <c r="D284" s="85" t="s">
        <v>624</v>
      </c>
      <c r="E284" s="85" t="s">
        <v>47</v>
      </c>
      <c r="F284" s="85"/>
      <c r="G284" s="86" t="n">
        <v>7.8917</v>
      </c>
      <c r="H284" s="87"/>
    </row>
    <row r="285">
      <c r="A285" s="10" t="s">
        <v>47</v>
      </c>
      <c r="B285" s="11" t="s">
        <v>47</v>
      </c>
      <c r="C285" s="11" t="s">
        <v>47</v>
      </c>
      <c r="D285" s="85" t="s">
        <v>625</v>
      </c>
      <c r="E285" s="85" t="s">
        <v>47</v>
      </c>
      <c r="F285" s="85"/>
      <c r="G285" s="86" t="n">
        <v>14.4016</v>
      </c>
      <c r="H285" s="52" t="s">
        <v>47</v>
      </c>
    </row>
    <row r="286">
      <c r="A286" s="84" t="s">
        <v>47</v>
      </c>
      <c r="B286" s="60" t="s">
        <v>47</v>
      </c>
      <c r="C286" s="60" t="s">
        <v>462</v>
      </c>
      <c r="D286" s="60" t="s">
        <v>463</v>
      </c>
      <c r="E286" s="60"/>
      <c r="F286" s="60" t="s">
        <v>47</v>
      </c>
      <c r="G286" s="32" t="s">
        <v>47</v>
      </c>
      <c r="H286" s="64" t="s">
        <v>47</v>
      </c>
    </row>
    <row r="287">
      <c r="A287" s="10" t="s">
        <v>464</v>
      </c>
      <c r="B287" s="11" t="s">
        <v>47</v>
      </c>
      <c r="C287" s="11" t="s">
        <v>465</v>
      </c>
      <c r="D287" s="11" t="s">
        <v>466</v>
      </c>
      <c r="E287" s="11"/>
      <c r="F287" s="11" t="s">
        <v>272</v>
      </c>
      <c r="G287" s="50" t="n">
        <v>22.0943</v>
      </c>
      <c r="H287" s="83" t="n">
        <v>0</v>
      </c>
    </row>
    <row r="288">
      <c r="A288" s="54"/>
      <c r="D288" s="85" t="s">
        <v>626</v>
      </c>
      <c r="E288" s="85" t="s">
        <v>47</v>
      </c>
      <c r="F288" s="85"/>
      <c r="G288" s="86" t="n">
        <v>22.0943</v>
      </c>
      <c r="H288" s="87"/>
    </row>
    <row r="289">
      <c r="A289" s="10" t="s">
        <v>468</v>
      </c>
      <c r="B289" s="11" t="s">
        <v>47</v>
      </c>
      <c r="C289" s="11" t="s">
        <v>469</v>
      </c>
      <c r="D289" s="11" t="s">
        <v>470</v>
      </c>
      <c r="E289" s="11"/>
      <c r="F289" s="11" t="s">
        <v>272</v>
      </c>
      <c r="G289" s="50" t="n">
        <v>22.0943</v>
      </c>
      <c r="H289" s="83" t="n">
        <v>0</v>
      </c>
    </row>
    <row r="290">
      <c r="A290" s="10" t="s">
        <v>471</v>
      </c>
      <c r="B290" s="11" t="s">
        <v>47</v>
      </c>
      <c r="C290" s="11" t="s">
        <v>472</v>
      </c>
      <c r="D290" s="11" t="s">
        <v>473</v>
      </c>
      <c r="E290" s="11"/>
      <c r="F290" s="11" t="s">
        <v>272</v>
      </c>
      <c r="G290" s="50" t="n">
        <v>22.0943</v>
      </c>
      <c r="H290" s="83" t="n">
        <v>0</v>
      </c>
    </row>
    <row r="291">
      <c r="A291" s="10" t="s">
        <v>474</v>
      </c>
      <c r="B291" s="11" t="s">
        <v>47</v>
      </c>
      <c r="C291" s="11" t="s">
        <v>475</v>
      </c>
      <c r="D291" s="11" t="s">
        <v>476</v>
      </c>
      <c r="E291" s="11"/>
      <c r="F291" s="11" t="s">
        <v>272</v>
      </c>
      <c r="G291" s="50" t="n">
        <v>22.0943</v>
      </c>
      <c r="H291" s="83" t="n">
        <v>0</v>
      </c>
    </row>
    <row r="292">
      <c r="A292" s="10" t="s">
        <v>477</v>
      </c>
      <c r="B292" s="11" t="s">
        <v>47</v>
      </c>
      <c r="C292" s="11" t="s">
        <v>478</v>
      </c>
      <c r="D292" s="11" t="s">
        <v>479</v>
      </c>
      <c r="E292" s="11"/>
      <c r="F292" s="11" t="s">
        <v>272</v>
      </c>
      <c r="G292" s="50" t="n">
        <v>21.4802</v>
      </c>
      <c r="H292" s="83" t="n">
        <v>0</v>
      </c>
    </row>
    <row r="293">
      <c r="A293" s="54"/>
      <c r="D293" s="85" t="s">
        <v>627</v>
      </c>
      <c r="E293" s="85" t="s">
        <v>47</v>
      </c>
      <c r="F293" s="85"/>
      <c r="G293" s="86" t="n">
        <v>21.4802</v>
      </c>
      <c r="H293" s="87"/>
    </row>
    <row r="294">
      <c r="A294" s="10" t="s">
        <v>480</v>
      </c>
      <c r="B294" s="11" t="s">
        <v>47</v>
      </c>
      <c r="C294" s="11" t="s">
        <v>481</v>
      </c>
      <c r="D294" s="11" t="s">
        <v>482</v>
      </c>
      <c r="E294" s="11"/>
      <c r="F294" s="11" t="s">
        <v>272</v>
      </c>
      <c r="G294" s="50" t="n">
        <v>0.0735</v>
      </c>
      <c r="H294" s="83" t="n">
        <v>0</v>
      </c>
    </row>
    <row r="295">
      <c r="A295" s="10" t="s">
        <v>483</v>
      </c>
      <c r="B295" s="11" t="s">
        <v>47</v>
      </c>
      <c r="C295" s="11" t="s">
        <v>484</v>
      </c>
      <c r="D295" s="11" t="s">
        <v>485</v>
      </c>
      <c r="E295" s="11"/>
      <c r="F295" s="11" t="s">
        <v>272</v>
      </c>
      <c r="G295" s="50" t="n">
        <v>0.5406</v>
      </c>
      <c r="H295" s="83" t="n">
        <v>0</v>
      </c>
    </row>
    <row r="296">
      <c r="A296" s="88"/>
      <c r="B296" s="89"/>
      <c r="C296" s="89"/>
      <c r="D296" s="90" t="s">
        <v>628</v>
      </c>
      <c r="E296" s="90" t="s">
        <v>47</v>
      </c>
      <c r="F296" s="90"/>
      <c r="G296" s="91" t="n">
        <v>0.5406</v>
      </c>
      <c r="H296" s="92"/>
    </row>
    <row r="298">
      <c r="A298" s="73" t="s">
        <v>487</v>
      </c>
    </row>
    <row r="299" customHeight="true" ht="12.75">
      <c r="A299" s="16" t="s">
        <v>47</v>
      </c>
      <c r="B299" s="11"/>
      <c r="C299" s="11"/>
      <c r="D299" s="11"/>
      <c r="E299" s="11"/>
      <c r="F299" s="11"/>
      <c r="G299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E6A4"/>
  <mergeCells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F8:H9"/>
    <mergeCell ref="D10:E10"/>
    <mergeCell ref="D11:E11"/>
    <mergeCell ref="D12:E12"/>
    <mergeCell ref="D13:E13"/>
    <mergeCell ref="D14:E14"/>
    <mergeCell ref="E15:F15"/>
    <mergeCell ref="E16:F16"/>
    <mergeCell ref="D17:E17"/>
    <mergeCell ref="D18:E18"/>
    <mergeCell ref="D19:E19"/>
    <mergeCell ref="E20:F20"/>
    <mergeCell ref="E21:F21"/>
    <mergeCell ref="E22:F22"/>
    <mergeCell ref="D23:E23"/>
    <mergeCell ref="D24:E24"/>
    <mergeCell ref="E25:F25"/>
    <mergeCell ref="D26:E26"/>
    <mergeCell ref="E27:F27"/>
    <mergeCell ref="E28:F28"/>
    <mergeCell ref="E29:F29"/>
    <mergeCell ref="E30:F30"/>
    <mergeCell ref="D31:E31"/>
    <mergeCell ref="E32:F32"/>
    <mergeCell ref="E33:F33"/>
    <mergeCell ref="E34:F34"/>
    <mergeCell ref="D35:E35"/>
    <mergeCell ref="E36:F36"/>
    <mergeCell ref="E37:F37"/>
    <mergeCell ref="E38:F38"/>
    <mergeCell ref="E39:F39"/>
    <mergeCell ref="E40:F40"/>
    <mergeCell ref="E41:F41"/>
    <mergeCell ref="D42:E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D52:E52"/>
    <mergeCell ref="D53:E53"/>
    <mergeCell ref="E54:F54"/>
    <mergeCell ref="D55:E55"/>
    <mergeCell ref="E56:F56"/>
    <mergeCell ref="D57:E57"/>
    <mergeCell ref="E58:F58"/>
    <mergeCell ref="E59:F59"/>
    <mergeCell ref="D60:E60"/>
    <mergeCell ref="E61:F61"/>
    <mergeCell ref="D62:E62"/>
    <mergeCell ref="E63:F63"/>
    <mergeCell ref="E64:F64"/>
    <mergeCell ref="E65:F65"/>
    <mergeCell ref="D66:E66"/>
    <mergeCell ref="E67:F67"/>
    <mergeCell ref="D68:E68"/>
    <mergeCell ref="E69:F69"/>
    <mergeCell ref="D70:E70"/>
    <mergeCell ref="D71:E71"/>
    <mergeCell ref="E72:F72"/>
    <mergeCell ref="E73:F73"/>
    <mergeCell ref="E74:F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E94:F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E103:F103"/>
    <mergeCell ref="E104:F104"/>
    <mergeCell ref="D105:E105"/>
    <mergeCell ref="E106:F106"/>
    <mergeCell ref="D107:E107"/>
    <mergeCell ref="E108:F108"/>
    <mergeCell ref="E109:F109"/>
    <mergeCell ref="E110:F110"/>
    <mergeCell ref="D111:E111"/>
    <mergeCell ref="E112:F112"/>
    <mergeCell ref="E113:F113"/>
    <mergeCell ref="D114:E114"/>
    <mergeCell ref="E115:F115"/>
    <mergeCell ref="D116:E116"/>
    <mergeCell ref="E117:F117"/>
    <mergeCell ref="D118:E118"/>
    <mergeCell ref="E119:F119"/>
    <mergeCell ref="D120:E120"/>
    <mergeCell ref="D121:E121"/>
    <mergeCell ref="E122:F122"/>
    <mergeCell ref="E123:F123"/>
    <mergeCell ref="E124:F124"/>
    <mergeCell ref="E125:F125"/>
    <mergeCell ref="E126:F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E135:F135"/>
    <mergeCell ref="E136:F136"/>
    <mergeCell ref="D137:E137"/>
    <mergeCell ref="D138:E138"/>
    <mergeCell ref="D139:E139"/>
    <mergeCell ref="D140:E140"/>
    <mergeCell ref="E141:F141"/>
    <mergeCell ref="D142:E142"/>
    <mergeCell ref="D143:E143"/>
    <mergeCell ref="D144:E144"/>
    <mergeCell ref="D145:E145"/>
    <mergeCell ref="E146:F146"/>
    <mergeCell ref="D147:E147"/>
    <mergeCell ref="D148:E148"/>
    <mergeCell ref="D149:E149"/>
    <mergeCell ref="D150:E150"/>
    <mergeCell ref="E151:F151"/>
    <mergeCell ref="D152:E152"/>
    <mergeCell ref="E153:F153"/>
    <mergeCell ref="D154:E154"/>
    <mergeCell ref="D155:E155"/>
    <mergeCell ref="D156:E156"/>
    <mergeCell ref="E157:F157"/>
    <mergeCell ref="E158:F158"/>
    <mergeCell ref="E159:F159"/>
    <mergeCell ref="E160:F160"/>
    <mergeCell ref="E161:F161"/>
    <mergeCell ref="D162:E162"/>
    <mergeCell ref="E163:F163"/>
    <mergeCell ref="E164:F164"/>
    <mergeCell ref="E165:F165"/>
    <mergeCell ref="E166:F166"/>
    <mergeCell ref="D167:E167"/>
    <mergeCell ref="E168:F168"/>
    <mergeCell ref="D169:E169"/>
    <mergeCell ref="E170:F170"/>
    <mergeCell ref="D171:E171"/>
    <mergeCell ref="E172:F172"/>
    <mergeCell ref="D173:E173"/>
    <mergeCell ref="E174:F174"/>
    <mergeCell ref="D175:E175"/>
    <mergeCell ref="E176:F176"/>
    <mergeCell ref="D177:E177"/>
    <mergeCell ref="E178:F178"/>
    <mergeCell ref="D179:E179"/>
    <mergeCell ref="D180:E180"/>
    <mergeCell ref="D181:E181"/>
    <mergeCell ref="E182:F182"/>
    <mergeCell ref="E183:F183"/>
    <mergeCell ref="E184:F184"/>
    <mergeCell ref="E185:F185"/>
    <mergeCell ref="E186:F186"/>
    <mergeCell ref="E187:F187"/>
    <mergeCell ref="E188:F188"/>
    <mergeCell ref="D189:E189"/>
    <mergeCell ref="D190:E190"/>
    <mergeCell ref="D191:E191"/>
    <mergeCell ref="D192:E192"/>
    <mergeCell ref="D193:E193"/>
    <mergeCell ref="E194:F194"/>
    <mergeCell ref="E195:F195"/>
    <mergeCell ref="D196:E196"/>
    <mergeCell ref="E197:F197"/>
    <mergeCell ref="D198:E198"/>
    <mergeCell ref="D199:E199"/>
    <mergeCell ref="D200:E200"/>
    <mergeCell ref="E201:F201"/>
    <mergeCell ref="E202:F202"/>
    <mergeCell ref="E203:F203"/>
    <mergeCell ref="D204:E204"/>
    <mergeCell ref="D205:E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D215:E215"/>
    <mergeCell ref="D216:E216"/>
    <mergeCell ref="E217:F217"/>
    <mergeCell ref="E218:F218"/>
    <mergeCell ref="D219:E219"/>
    <mergeCell ref="D220:E220"/>
    <mergeCell ref="D221:E221"/>
    <mergeCell ref="D222:E222"/>
    <mergeCell ref="D223:E223"/>
    <mergeCell ref="E224:F224"/>
    <mergeCell ref="E225:F225"/>
    <mergeCell ref="D226:E226"/>
    <mergeCell ref="D227:E227"/>
    <mergeCell ref="D228:E228"/>
    <mergeCell ref="D229:E229"/>
    <mergeCell ref="E230:F230"/>
    <mergeCell ref="D231:E231"/>
    <mergeCell ref="D232:E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D244:E244"/>
    <mergeCell ref="E245:F245"/>
    <mergeCell ref="D246:E246"/>
    <mergeCell ref="E247:F247"/>
    <mergeCell ref="E248:F248"/>
    <mergeCell ref="D249:E249"/>
    <mergeCell ref="E250:F250"/>
    <mergeCell ref="D251:E251"/>
    <mergeCell ref="E252:F252"/>
    <mergeCell ref="D253:E253"/>
    <mergeCell ref="E254:F254"/>
    <mergeCell ref="E255:F255"/>
    <mergeCell ref="D256:E256"/>
    <mergeCell ref="E257:F257"/>
    <mergeCell ref="D258:E258"/>
    <mergeCell ref="E259:F259"/>
    <mergeCell ref="D260:E260"/>
    <mergeCell ref="E261:F261"/>
    <mergeCell ref="D262:E262"/>
    <mergeCell ref="D263:E263"/>
    <mergeCell ref="E264:F264"/>
    <mergeCell ref="D265:E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D282:E282"/>
    <mergeCell ref="D283:E283"/>
    <mergeCell ref="E284:F284"/>
    <mergeCell ref="E285:F285"/>
    <mergeCell ref="D286:E286"/>
    <mergeCell ref="D287:E287"/>
    <mergeCell ref="E288:F288"/>
    <mergeCell ref="D289:E289"/>
    <mergeCell ref="D290:E290"/>
    <mergeCell ref="D291:E291"/>
    <mergeCell ref="D292:E292"/>
    <mergeCell ref="E293:F293"/>
    <mergeCell ref="D294:E294"/>
    <mergeCell ref="D295:E295"/>
    <mergeCell ref="E296:F296"/>
    <mergeCell ref="A299:G299"/>
  </mergeCells>
  <pageMargins left="0.393999993801117" top="0.591000020503998" right="0.393999993801117" bottom="0.591000020503998" header="0" footer="0"/>
  <pageSetup orientation="portrait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93" t="s">
        <v>629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8" t="s">
        <v>5</v>
      </c>
      <c r="F2" s="8">
        <f>'Stavební rozpočet'!I2</f>
      </c>
      <c r="G2" s="4"/>
      <c r="H2" s="8" t="s">
        <v>630</v>
      </c>
      <c r="I2" s="9" t="s">
        <v>47</v>
      </c>
    </row>
    <row r="3" customHeight="true" ht="25.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rozpočet'!C4</f>
      </c>
      <c r="D4" s="11"/>
      <c r="E4" s="16" t="s">
        <v>10</v>
      </c>
      <c r="F4" s="16">
        <f>'Stavební rozpočet'!I4</f>
      </c>
      <c r="G4" s="11"/>
      <c r="H4" s="16" t="s">
        <v>630</v>
      </c>
      <c r="I4" s="14" t="s">
        <v>47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12</v>
      </c>
      <c r="B6" s="11"/>
      <c r="C6" s="16">
        <f>'Stavební rozpočet'!C6</f>
      </c>
      <c r="D6" s="11"/>
      <c r="E6" s="16" t="s">
        <v>14</v>
      </c>
      <c r="F6" s="16">
        <f>'Stavební rozpočet'!I6</f>
      </c>
      <c r="G6" s="11"/>
      <c r="H6" s="16" t="s">
        <v>630</v>
      </c>
      <c r="I6" s="14" t="s">
        <v>47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rozpočet'!G4</f>
      </c>
      <c r="D8" s="11"/>
      <c r="E8" s="16" t="s">
        <v>13</v>
      </c>
      <c r="F8" s="16">
        <f>'Stavební rozpočet'!G6</f>
      </c>
      <c r="G8" s="11"/>
      <c r="H8" s="11" t="s">
        <v>631</v>
      </c>
      <c r="I8" s="94" t="n">
        <v>113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15</v>
      </c>
      <c r="B10" s="11"/>
      <c r="C10" s="16">
        <f>'Stavební rozpočet'!C8</f>
      </c>
      <c r="D10" s="11"/>
      <c r="E10" s="16" t="s">
        <v>17</v>
      </c>
      <c r="F10" s="16">
        <f>'Stavební rozpočet'!I8</f>
      </c>
      <c r="G10" s="11"/>
      <c r="H10" s="11" t="s">
        <v>632</v>
      </c>
      <c r="I10" s="95">
        <f>'Stavební rozpočet'!G8</f>
      </c>
    </row>
    <row r="11">
      <c r="A11" s="65"/>
      <c r="B11" s="66"/>
      <c r="C11" s="66"/>
      <c r="D11" s="66"/>
      <c r="E11" s="66"/>
      <c r="F11" s="66"/>
      <c r="G11" s="66"/>
      <c r="H11" s="66"/>
      <c r="I11" s="96"/>
    </row>
    <row r="12">
      <c r="A12" s="97" t="s">
        <v>633</v>
      </c>
      <c r="B12" s="97"/>
      <c r="C12" s="97"/>
      <c r="D12" s="97"/>
      <c r="E12" s="97"/>
      <c r="F12" s="97"/>
      <c r="G12" s="97"/>
      <c r="H12" s="97"/>
      <c r="I12" s="97"/>
    </row>
    <row r="13" customHeight="true" ht="26.25">
      <c r="A13" s="98" t="s">
        <v>634</v>
      </c>
      <c r="B13" s="99" t="s">
        <v>635</v>
      </c>
      <c r="C13" s="100"/>
      <c r="D13" s="101" t="s">
        <v>636</v>
      </c>
      <c r="E13" s="99" t="s">
        <v>637</v>
      </c>
      <c r="F13" s="100"/>
      <c r="G13" s="101" t="s">
        <v>638</v>
      </c>
      <c r="H13" s="99" t="s">
        <v>639</v>
      </c>
      <c r="I13" s="100"/>
    </row>
    <row r="14">
      <c r="A14" s="102" t="s">
        <v>640</v>
      </c>
      <c r="B14" s="103" t="s">
        <v>641</v>
      </c>
      <c r="C14" s="104">
        <f>SUM('Stavební rozpočet'!AB12:AB340)</f>
      </c>
      <c r="D14" s="105" t="s">
        <v>642</v>
      </c>
      <c r="E14" s="106"/>
      <c r="F14" s="104">
        <f>VORN!I15</f>
      </c>
      <c r="G14" s="105" t="s">
        <v>643</v>
      </c>
      <c r="H14" s="106"/>
      <c r="I14" s="107">
        <f>VORN!I22</f>
      </c>
    </row>
    <row r="15">
      <c r="A15" s="108" t="s">
        <v>47</v>
      </c>
      <c r="B15" s="103" t="s">
        <v>32</v>
      </c>
      <c r="C15" s="104">
        <f>SUM('Stavební rozpočet'!AC12:AC340)</f>
      </c>
      <c r="D15" s="105" t="s">
        <v>644</v>
      </c>
      <c r="E15" s="106"/>
      <c r="F15" s="104">
        <f>VORN!I16</f>
      </c>
      <c r="G15" s="105" t="s">
        <v>645</v>
      </c>
      <c r="H15" s="106"/>
      <c r="I15" s="107">
        <f>VORN!I23</f>
      </c>
    </row>
    <row r="16">
      <c r="A16" s="102" t="s">
        <v>646</v>
      </c>
      <c r="B16" s="103" t="s">
        <v>641</v>
      </c>
      <c r="C16" s="104">
        <f>SUM('Stavební rozpočet'!AD12:AD340)</f>
      </c>
      <c r="D16" s="105" t="s">
        <v>647</v>
      </c>
      <c r="E16" s="106"/>
      <c r="F16" s="104">
        <f>VORN!I17</f>
      </c>
      <c r="G16" s="105" t="s">
        <v>648</v>
      </c>
      <c r="H16" s="106"/>
      <c r="I16" s="107">
        <f>VORN!I24</f>
      </c>
    </row>
    <row r="17">
      <c r="A17" s="108" t="s">
        <v>47</v>
      </c>
      <c r="B17" s="103" t="s">
        <v>32</v>
      </c>
      <c r="C17" s="104">
        <f>SUM('Stavební rozpočet'!AE12:AE340)</f>
      </c>
      <c r="D17" s="105" t="s">
        <v>649</v>
      </c>
      <c r="E17" s="106"/>
      <c r="F17" s="104">
        <f>VORN!I18</f>
      </c>
      <c r="G17" s="105" t="s">
        <v>650</v>
      </c>
      <c r="H17" s="106"/>
      <c r="I17" s="107">
        <f>VORN!I25</f>
      </c>
    </row>
    <row r="18">
      <c r="A18" s="102" t="s">
        <v>651</v>
      </c>
      <c r="B18" s="103" t="s">
        <v>641</v>
      </c>
      <c r="C18" s="104">
        <f>SUM('Stavební rozpočet'!AF12:AF340)</f>
      </c>
      <c r="D18" s="105" t="s">
        <v>47</v>
      </c>
      <c r="E18" s="106"/>
      <c r="F18" s="107" t="s">
        <v>47</v>
      </c>
      <c r="G18" s="105" t="s">
        <v>652</v>
      </c>
      <c r="H18" s="106"/>
      <c r="I18" s="107">
        <f>VORN!I26</f>
      </c>
    </row>
    <row r="19">
      <c r="A19" s="108" t="s">
        <v>47</v>
      </c>
      <c r="B19" s="103" t="s">
        <v>32</v>
      </c>
      <c r="C19" s="104">
        <f>SUM('Stavební rozpočet'!AG12:AG340)</f>
      </c>
      <c r="D19" s="105" t="s">
        <v>47</v>
      </c>
      <c r="E19" s="106"/>
      <c r="F19" s="107" t="s">
        <v>47</v>
      </c>
      <c r="G19" s="105" t="s">
        <v>653</v>
      </c>
      <c r="H19" s="106"/>
      <c r="I19" s="107">
        <f>VORN!I27</f>
      </c>
    </row>
    <row r="20">
      <c r="A20" s="109" t="s">
        <v>654</v>
      </c>
      <c r="B20" s="110"/>
      <c r="C20" s="104">
        <f>SUM('Stavební rozpočet'!AH12:AH340)</f>
      </c>
      <c r="D20" s="105" t="s">
        <v>47</v>
      </c>
      <c r="E20" s="106"/>
      <c r="F20" s="107" t="s">
        <v>47</v>
      </c>
      <c r="G20" s="105" t="s">
        <v>47</v>
      </c>
      <c r="H20" s="106"/>
      <c r="I20" s="107" t="s">
        <v>47</v>
      </c>
    </row>
    <row r="21">
      <c r="A21" s="111" t="s">
        <v>655</v>
      </c>
      <c r="B21" s="112"/>
      <c r="C21" s="113">
        <f>SUM('Stavební rozpočet'!Z12:Z340)</f>
      </c>
      <c r="D21" s="114" t="s">
        <v>47</v>
      </c>
      <c r="E21" s="115"/>
      <c r="F21" s="116" t="s">
        <v>47</v>
      </c>
      <c r="G21" s="114" t="s">
        <v>47</v>
      </c>
      <c r="H21" s="115"/>
      <c r="I21" s="116" t="s">
        <v>47</v>
      </c>
    </row>
    <row r="22" customHeight="true" ht="16.5">
      <c r="A22" s="117" t="s">
        <v>656</v>
      </c>
      <c r="B22" s="118"/>
      <c r="C22" s="119">
        <f>ROUND(SUM(C14:C21),2)</f>
      </c>
      <c r="D22" s="120" t="s">
        <v>657</v>
      </c>
      <c r="E22" s="118"/>
      <c r="F22" s="119">
        <f>SUM(F14:F21)</f>
      </c>
      <c r="G22" s="120" t="s">
        <v>658</v>
      </c>
      <c r="H22" s="118"/>
      <c r="I22" s="119">
        <f>SUM(I14:I21)</f>
      </c>
    </row>
    <row r="23">
      <c r="D23" s="109" t="s">
        <v>659</v>
      </c>
      <c r="E23" s="110"/>
      <c r="F23" s="121" t="n">
        <v>0</v>
      </c>
      <c r="G23" s="122" t="s">
        <v>660</v>
      </c>
      <c r="H23" s="110"/>
      <c r="I23" s="104" t="n">
        <v>0</v>
      </c>
    </row>
    <row r="24">
      <c r="G24" s="109" t="s">
        <v>661</v>
      </c>
      <c r="H24" s="110"/>
      <c r="I24" s="113">
        <f>vorn_sum</f>
      </c>
    </row>
    <row r="25">
      <c r="G25" s="109" t="s">
        <v>662</v>
      </c>
      <c r="H25" s="110"/>
      <c r="I25" s="119" t="n">
        <v>0</v>
      </c>
    </row>
    <row r="27">
      <c r="A27" s="123" t="s">
        <v>663</v>
      </c>
      <c r="B27" s="124"/>
      <c r="C27" s="125">
        <f>ROUND(SUM('Stavební rozpočet'!AJ12:AJ340),2)</f>
      </c>
    </row>
    <row r="28">
      <c r="A28" s="126" t="s">
        <v>664</v>
      </c>
      <c r="B28" s="127"/>
      <c r="C28" s="128">
        <f>ROUND(SUM('Stavební rozpočet'!AK12:AK340),2)</f>
      </c>
      <c r="D28" s="129" t="s">
        <v>665</v>
      </c>
      <c r="E28" s="124"/>
      <c r="F28" s="125">
        <f>ROUND(C28*(12/100),2)</f>
      </c>
      <c r="G28" s="129" t="s">
        <v>666</v>
      </c>
      <c r="H28" s="124"/>
      <c r="I28" s="125">
        <f>ROUND(SUM(C27:C29),2)</f>
      </c>
    </row>
    <row r="29">
      <c r="A29" s="126" t="s">
        <v>667</v>
      </c>
      <c r="B29" s="127"/>
      <c r="C29" s="128">
        <f>ROUND(SUM('Stavební rozpočet'!AL12:AL340)+(F22+I22+F23+I23+I24+I25),2)</f>
      </c>
      <c r="D29" s="130" t="s">
        <v>668</v>
      </c>
      <c r="E29" s="127"/>
      <c r="F29" s="128">
        <f>ROUND(C29*(21/100),2)</f>
      </c>
      <c r="G29" s="130" t="s">
        <v>669</v>
      </c>
      <c r="H29" s="127"/>
      <c r="I29" s="128">
        <f>ROUND(SUM(F28:F29)+I28,2)</f>
      </c>
    </row>
    <row r="31">
      <c r="A31" s="131" t="s">
        <v>670</v>
      </c>
      <c r="B31" s="132"/>
      <c r="C31" s="133"/>
      <c r="D31" s="134" t="s">
        <v>671</v>
      </c>
      <c r="E31" s="132"/>
      <c r="F31" s="133"/>
      <c r="G31" s="134" t="s">
        <v>672</v>
      </c>
      <c r="H31" s="132"/>
      <c r="I31" s="133"/>
    </row>
    <row r="32">
      <c r="A32" s="135" t="s">
        <v>47</v>
      </c>
      <c r="B32" s="136"/>
      <c r="C32" s="137"/>
      <c r="D32" s="138" t="s">
        <v>47</v>
      </c>
      <c r="E32" s="136"/>
      <c r="F32" s="137"/>
      <c r="G32" s="138" t="s">
        <v>47</v>
      </c>
      <c r="H32" s="136"/>
      <c r="I32" s="137"/>
    </row>
    <row r="33">
      <c r="A33" s="135" t="s">
        <v>47</v>
      </c>
      <c r="B33" s="136"/>
      <c r="C33" s="137"/>
      <c r="D33" s="138" t="s">
        <v>47</v>
      </c>
      <c r="E33" s="136"/>
      <c r="F33" s="137"/>
      <c r="G33" s="138" t="s">
        <v>47</v>
      </c>
      <c r="H33" s="136"/>
      <c r="I33" s="137"/>
    </row>
    <row r="34">
      <c r="A34" s="135" t="s">
        <v>47</v>
      </c>
      <c r="B34" s="136"/>
      <c r="C34" s="137"/>
      <c r="D34" s="138" t="s">
        <v>47</v>
      </c>
      <c r="E34" s="136"/>
      <c r="F34" s="137"/>
      <c r="G34" s="138" t="s">
        <v>47</v>
      </c>
      <c r="H34" s="136"/>
      <c r="I34" s="137"/>
    </row>
    <row r="35">
      <c r="A35" s="139" t="s">
        <v>673</v>
      </c>
      <c r="B35" s="140"/>
      <c r="C35" s="141"/>
      <c r="D35" s="142" t="s">
        <v>673</v>
      </c>
      <c r="E35" s="140"/>
      <c r="F35" s="141"/>
      <c r="G35" s="142" t="s">
        <v>673</v>
      </c>
      <c r="H35" s="140"/>
      <c r="I35" s="141"/>
    </row>
    <row r="36">
      <c r="A36" s="143" t="s">
        <v>487</v>
      </c>
    </row>
    <row r="37" customHeight="true" ht="12.75">
      <c r="A37" s="16" t="s">
        <v>47</v>
      </c>
      <c r="B37" s="11"/>
      <c r="C37" s="11"/>
      <c r="D37" s="11"/>
      <c r="E37" s="11"/>
      <c r="F37" s="11"/>
      <c r="G37" s="11"/>
      <c r="H37" s="11"/>
      <c r="I37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E6A4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portrait" fitToHeight="1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E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93" t="s">
        <v>674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8" t="s">
        <v>5</v>
      </c>
      <c r="F2" s="8">
        <f>'Stavební rozpočet'!I2</f>
      </c>
      <c r="G2" s="4"/>
      <c r="H2" s="8" t="s">
        <v>630</v>
      </c>
      <c r="I2" s="9" t="s">
        <v>47</v>
      </c>
    </row>
    <row r="3" customHeight="true" ht="25.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rozpočet'!C4</f>
      </c>
      <c r="D4" s="11"/>
      <c r="E4" s="16" t="s">
        <v>10</v>
      </c>
      <c r="F4" s="16">
        <f>'Stavební rozpočet'!I4</f>
      </c>
      <c r="G4" s="11"/>
      <c r="H4" s="16" t="s">
        <v>630</v>
      </c>
      <c r="I4" s="14" t="s">
        <v>47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12</v>
      </c>
      <c r="B6" s="11"/>
      <c r="C6" s="16">
        <f>'Stavební rozpočet'!C6</f>
      </c>
      <c r="D6" s="11"/>
      <c r="E6" s="16" t="s">
        <v>14</v>
      </c>
      <c r="F6" s="16">
        <f>'Stavební rozpočet'!I6</f>
      </c>
      <c r="G6" s="11"/>
      <c r="H6" s="16" t="s">
        <v>630</v>
      </c>
      <c r="I6" s="14" t="s">
        <v>47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rozpočet'!G4</f>
      </c>
      <c r="D8" s="11"/>
      <c r="E8" s="16" t="s">
        <v>13</v>
      </c>
      <c r="F8" s="16">
        <f>'Stavební rozpočet'!G6</f>
      </c>
      <c r="G8" s="11"/>
      <c r="H8" s="11" t="s">
        <v>631</v>
      </c>
      <c r="I8" s="94" t="n">
        <v>113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15</v>
      </c>
      <c r="B10" s="11"/>
      <c r="C10" s="16">
        <f>'Stavební rozpočet'!C8</f>
      </c>
      <c r="D10" s="11"/>
      <c r="E10" s="16" t="s">
        <v>17</v>
      </c>
      <c r="F10" s="16">
        <f>'Stavební rozpočet'!I8</f>
      </c>
      <c r="G10" s="11"/>
      <c r="H10" s="11" t="s">
        <v>632</v>
      </c>
      <c r="I10" s="95">
        <f>'Stavební rozpočet'!G8</f>
      </c>
    </row>
    <row r="11">
      <c r="A11" s="65"/>
      <c r="B11" s="66"/>
      <c r="C11" s="66"/>
      <c r="D11" s="66"/>
      <c r="E11" s="66"/>
      <c r="F11" s="66"/>
      <c r="G11" s="66"/>
      <c r="H11" s="66"/>
      <c r="I11" s="96"/>
    </row>
    <row r="13">
      <c r="A13" s="144" t="s">
        <v>675</v>
      </c>
      <c r="B13" s="144"/>
      <c r="C13" s="144"/>
      <c r="D13" s="144"/>
      <c r="E13" s="144"/>
    </row>
    <row r="14">
      <c r="A14" s="145" t="s">
        <v>676</v>
      </c>
      <c r="B14" s="146"/>
      <c r="C14" s="146"/>
      <c r="D14" s="146"/>
      <c r="E14" s="147"/>
      <c r="F14" s="148" t="s">
        <v>677</v>
      </c>
      <c r="G14" s="148" t="s">
        <v>678</v>
      </c>
      <c r="H14" s="148" t="s">
        <v>679</v>
      </c>
      <c r="I14" s="148" t="s">
        <v>677</v>
      </c>
    </row>
    <row r="15">
      <c r="A15" s="149" t="s">
        <v>642</v>
      </c>
      <c r="B15" s="150"/>
      <c r="C15" s="150"/>
      <c r="D15" s="150"/>
      <c r="E15" s="151"/>
      <c r="F15" s="152" t="n">
        <v>0</v>
      </c>
      <c r="G15" s="153" t="s">
        <v>47</v>
      </c>
      <c r="H15" s="153" t="s">
        <v>47</v>
      </c>
      <c r="I15" s="152">
        <f>F15</f>
      </c>
    </row>
    <row r="16">
      <c r="A16" s="149" t="s">
        <v>644</v>
      </c>
      <c r="B16" s="150"/>
      <c r="C16" s="150"/>
      <c r="D16" s="150"/>
      <c r="E16" s="151"/>
      <c r="F16" s="152" t="n">
        <v>0</v>
      </c>
      <c r="G16" s="153" t="s">
        <v>47</v>
      </c>
      <c r="H16" s="153" t="s">
        <v>47</v>
      </c>
      <c r="I16" s="152">
        <f>F16</f>
      </c>
    </row>
    <row r="17">
      <c r="A17" s="149" t="s">
        <v>647</v>
      </c>
      <c r="B17" s="150"/>
      <c r="C17" s="150"/>
      <c r="D17" s="150"/>
      <c r="E17" s="151"/>
      <c r="F17" s="152" t="n">
        <v>0</v>
      </c>
      <c r="G17" s="153" t="s">
        <v>47</v>
      </c>
      <c r="H17" s="153" t="s">
        <v>47</v>
      </c>
      <c r="I17" s="152">
        <f>F17</f>
      </c>
    </row>
    <row r="18">
      <c r="A18" s="154" t="s">
        <v>649</v>
      </c>
      <c r="B18" s="155"/>
      <c r="C18" s="155"/>
      <c r="D18" s="155"/>
      <c r="E18" s="156"/>
      <c r="F18" s="157" t="s">
        <v>47</v>
      </c>
      <c r="G18" s="158" t="n">
        <v>0.5</v>
      </c>
      <c r="H18" s="158">
        <f>'Krycí list rozpočtu'!C22</f>
      </c>
      <c r="I18" s="158">
        <f>ROUND((G18/100)*H18,2)</f>
      </c>
    </row>
    <row r="19">
      <c r="A19" s="159" t="s">
        <v>680</v>
      </c>
      <c r="B19" s="160"/>
      <c r="C19" s="160"/>
      <c r="D19" s="160"/>
      <c r="E19" s="161"/>
      <c r="F19" s="162" t="s">
        <v>47</v>
      </c>
      <c r="G19" s="163" t="s">
        <v>47</v>
      </c>
      <c r="H19" s="163" t="s">
        <v>47</v>
      </c>
      <c r="I19" s="164">
        <f>SUM(I15:I18)</f>
      </c>
    </row>
    <row r="21">
      <c r="A21" s="145" t="s">
        <v>639</v>
      </c>
      <c r="B21" s="146"/>
      <c r="C21" s="146"/>
      <c r="D21" s="146"/>
      <c r="E21" s="147"/>
      <c r="F21" s="148" t="s">
        <v>677</v>
      </c>
      <c r="G21" s="148" t="s">
        <v>678</v>
      </c>
      <c r="H21" s="148" t="s">
        <v>679</v>
      </c>
      <c r="I21" s="148" t="s">
        <v>677</v>
      </c>
    </row>
    <row r="22">
      <c r="A22" s="149" t="s">
        <v>643</v>
      </c>
      <c r="B22" s="150"/>
      <c r="C22" s="150"/>
      <c r="D22" s="150"/>
      <c r="E22" s="151"/>
      <c r="F22" s="153" t="s">
        <v>47</v>
      </c>
      <c r="G22" s="152" t="n">
        <v>1</v>
      </c>
      <c r="H22" s="152">
        <f>'Krycí list rozpočtu'!C22</f>
      </c>
      <c r="I22" s="152">
        <f>ROUND((G22/100)*H22,2)</f>
      </c>
    </row>
    <row r="23">
      <c r="A23" s="149" t="s">
        <v>645</v>
      </c>
      <c r="B23" s="150"/>
      <c r="C23" s="150"/>
      <c r="D23" s="150"/>
      <c r="E23" s="151"/>
      <c r="F23" s="152" t="n">
        <v>0</v>
      </c>
      <c r="G23" s="153" t="s">
        <v>47</v>
      </c>
      <c r="H23" s="153" t="s">
        <v>47</v>
      </c>
      <c r="I23" s="152">
        <f>F23</f>
      </c>
    </row>
    <row r="24">
      <c r="A24" s="149" t="s">
        <v>648</v>
      </c>
      <c r="B24" s="150"/>
      <c r="C24" s="150"/>
      <c r="D24" s="150"/>
      <c r="E24" s="151"/>
      <c r="F24" s="152" t="n">
        <v>0</v>
      </c>
      <c r="G24" s="153" t="s">
        <v>47</v>
      </c>
      <c r="H24" s="153" t="s">
        <v>47</v>
      </c>
      <c r="I24" s="152">
        <f>F24</f>
      </c>
    </row>
    <row r="25">
      <c r="A25" s="149" t="s">
        <v>650</v>
      </c>
      <c r="B25" s="150"/>
      <c r="C25" s="150"/>
      <c r="D25" s="150"/>
      <c r="E25" s="151"/>
      <c r="F25" s="152" t="n">
        <v>0</v>
      </c>
      <c r="G25" s="153" t="s">
        <v>47</v>
      </c>
      <c r="H25" s="153" t="s">
        <v>47</v>
      </c>
      <c r="I25" s="152">
        <f>F25</f>
      </c>
    </row>
    <row r="26">
      <c r="A26" s="149" t="s">
        <v>652</v>
      </c>
      <c r="B26" s="150"/>
      <c r="C26" s="150"/>
      <c r="D26" s="150"/>
      <c r="E26" s="151"/>
      <c r="F26" s="152" t="n">
        <v>0</v>
      </c>
      <c r="G26" s="153" t="s">
        <v>47</v>
      </c>
      <c r="H26" s="153" t="s">
        <v>47</v>
      </c>
      <c r="I26" s="152">
        <f>F26</f>
      </c>
    </row>
    <row r="27">
      <c r="A27" s="154" t="s">
        <v>653</v>
      </c>
      <c r="B27" s="155"/>
      <c r="C27" s="155"/>
      <c r="D27" s="155"/>
      <c r="E27" s="156"/>
      <c r="F27" s="158" t="n">
        <v>0</v>
      </c>
      <c r="G27" s="157" t="s">
        <v>47</v>
      </c>
      <c r="H27" s="157" t="s">
        <v>47</v>
      </c>
      <c r="I27" s="158">
        <f>F27</f>
      </c>
    </row>
    <row r="28">
      <c r="A28" s="159" t="s">
        <v>681</v>
      </c>
      <c r="B28" s="160"/>
      <c r="C28" s="160"/>
      <c r="D28" s="160"/>
      <c r="E28" s="161"/>
      <c r="F28" s="162" t="s">
        <v>47</v>
      </c>
      <c r="G28" s="163" t="s">
        <v>47</v>
      </c>
      <c r="H28" s="163" t="s">
        <v>47</v>
      </c>
      <c r="I28" s="164">
        <f>SUM(I22:I27)</f>
      </c>
    </row>
    <row r="30">
      <c r="A30" s="165" t="s">
        <v>682</v>
      </c>
      <c r="B30" s="166"/>
      <c r="C30" s="166"/>
      <c r="D30" s="166"/>
      <c r="E30" s="167"/>
      <c r="F30" s="168">
        <f>I19+I28</f>
      </c>
      <c r="G30" s="169"/>
      <c r="H30" s="169"/>
      <c r="I30" s="170"/>
    </row>
    <row r="34">
      <c r="A34" s="144" t="s">
        <v>683</v>
      </c>
      <c r="B34" s="144"/>
      <c r="C34" s="144"/>
      <c r="D34" s="144"/>
      <c r="E34" s="144"/>
    </row>
    <row r="35">
      <c r="A35" s="145" t="s">
        <v>684</v>
      </c>
      <c r="B35" s="146"/>
      <c r="C35" s="146"/>
      <c r="D35" s="146"/>
      <c r="E35" s="147"/>
      <c r="F35" s="148" t="s">
        <v>677</v>
      </c>
      <c r="G35" s="148" t="s">
        <v>678</v>
      </c>
      <c r="H35" s="148" t="s">
        <v>679</v>
      </c>
      <c r="I35" s="148" t="s">
        <v>677</v>
      </c>
    </row>
    <row r="36">
      <c r="A36" s="154" t="s">
        <v>47</v>
      </c>
      <c r="B36" s="155"/>
      <c r="C36" s="155"/>
      <c r="D36" s="155"/>
      <c r="E36" s="156"/>
      <c r="F36" s="158" t="n">
        <v>0</v>
      </c>
      <c r="G36" s="157" t="s">
        <v>47</v>
      </c>
      <c r="H36" s="157" t="s">
        <v>47</v>
      </c>
      <c r="I36" s="158">
        <f>F36</f>
      </c>
    </row>
    <row r="37">
      <c r="A37" s="159" t="s">
        <v>685</v>
      </c>
      <c r="B37" s="160"/>
      <c r="C37" s="160"/>
      <c r="D37" s="160"/>
      <c r="E37" s="161"/>
      <c r="F37" s="162" t="s">
        <v>47</v>
      </c>
      <c r="G37" s="163" t="s">
        <v>47</v>
      </c>
      <c r="H37" s="163" t="s">
        <v>47</v>
      </c>
      <c r="I37" s="164">
        <f>SUM(I36:I36)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E6A4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19:E19"/>
    <mergeCell ref="A21:E21"/>
    <mergeCell ref="A22:E22"/>
    <mergeCell ref="A23:E23"/>
    <mergeCell ref="A24:E24"/>
    <mergeCell ref="A25:E25"/>
    <mergeCell ref="A26:E26"/>
    <mergeCell ref="A27:E27"/>
    <mergeCell ref="A28:E28"/>
    <mergeCell ref="A30:E30"/>
    <mergeCell ref="F30:I30"/>
    <mergeCell ref="A34:E34"/>
    <mergeCell ref="A35:E35"/>
    <mergeCell ref="A36:E36"/>
    <mergeCell ref="A37:E37"/>
  </mergeCells>
  <pageMargins left="0.393999993801117" top="0.591000020503998" right="0.393999993801117" bottom="0.591000020503998" header="0" footer="0"/>
  <pageSetup orientation="portrait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